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Transmission Rates AEP West SPP OpCos and Transcos\True Ups\2022 Annual Update\Filed Documents 5-27-22\"/>
    </mc:Choice>
  </mc:AlternateContent>
  <xr:revisionPtr revIDLastSave="0" documentId="13_ncr:10001_{A6CB2E5E-0F56-40BC-93C6-0A29445ADF05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1">Summary!$C$1:$I$40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/>
  <pivotCaches>
    <pivotCache cacheId="112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9" l="1"/>
  <c r="L3" i="18" l="1"/>
  <c r="H205" i="18"/>
  <c r="H24" i="18" l="1"/>
  <c r="H45" i="18"/>
  <c r="H56" i="18"/>
  <c r="H68" i="18"/>
  <c r="H100" i="18"/>
  <c r="H132" i="18"/>
  <c r="H164" i="18"/>
  <c r="H180" i="18"/>
  <c r="H25" i="18"/>
  <c r="H46" i="18"/>
  <c r="H69" i="18"/>
  <c r="H101" i="18"/>
  <c r="H149" i="18"/>
  <c r="H181" i="18"/>
  <c r="H29" i="18"/>
  <c r="H40" i="18"/>
  <c r="H50" i="18"/>
  <c r="H61" i="18"/>
  <c r="H76" i="18"/>
  <c r="H92" i="18"/>
  <c r="H108" i="18"/>
  <c r="H124" i="18"/>
  <c r="H140" i="18"/>
  <c r="H156" i="18"/>
  <c r="H172" i="18"/>
  <c r="H188" i="18"/>
  <c r="H204" i="18"/>
  <c r="H34" i="18"/>
  <c r="H84" i="18"/>
  <c r="H116" i="18"/>
  <c r="H148" i="18"/>
  <c r="H196" i="18"/>
  <c r="H36" i="18"/>
  <c r="H57" i="18"/>
  <c r="H85" i="18"/>
  <c r="H117" i="18"/>
  <c r="H133" i="18"/>
  <c r="H165" i="18"/>
  <c r="H197" i="18"/>
  <c r="H20" i="18"/>
  <c r="H30" i="18"/>
  <c r="H41" i="18"/>
  <c r="H52" i="18"/>
  <c r="H62" i="18"/>
  <c r="H77" i="18"/>
  <c r="H93" i="18"/>
  <c r="H109" i="18"/>
  <c r="H125" i="18"/>
  <c r="H141" i="18"/>
  <c r="H157" i="18"/>
  <c r="H173" i="18"/>
  <c r="H189" i="18"/>
  <c r="H211" i="18"/>
  <c r="H207" i="18"/>
  <c r="H203" i="18"/>
  <c r="H199" i="18"/>
  <c r="H195" i="18"/>
  <c r="H191" i="18"/>
  <c r="H187" i="18"/>
  <c r="H183" i="18"/>
  <c r="H179" i="18"/>
  <c r="H175" i="18"/>
  <c r="H171" i="18"/>
  <c r="H167" i="18"/>
  <c r="H163" i="18"/>
  <c r="H159" i="18"/>
  <c r="H155" i="18"/>
  <c r="H151" i="18"/>
  <c r="H147" i="18"/>
  <c r="H143" i="18"/>
  <c r="H139" i="18"/>
  <c r="H135" i="18"/>
  <c r="H131" i="18"/>
  <c r="H127" i="18"/>
  <c r="H123" i="18"/>
  <c r="H119" i="18"/>
  <c r="H115" i="18"/>
  <c r="H111" i="18"/>
  <c r="H107" i="18"/>
  <c r="H103" i="18"/>
  <c r="H99" i="18"/>
  <c r="H95" i="18"/>
  <c r="H91" i="18"/>
  <c r="H87" i="18"/>
  <c r="H83" i="18"/>
  <c r="H79" i="18"/>
  <c r="H75" i="18"/>
  <c r="H71" i="18"/>
  <c r="H67" i="18"/>
  <c r="H63" i="18"/>
  <c r="H59" i="18"/>
  <c r="H55" i="18"/>
  <c r="H51" i="18"/>
  <c r="H47" i="18"/>
  <c r="H43" i="18"/>
  <c r="H39" i="18"/>
  <c r="H35" i="18"/>
  <c r="H31" i="18"/>
  <c r="H27" i="18"/>
  <c r="H23" i="18"/>
  <c r="H210" i="18"/>
  <c r="H206" i="18"/>
  <c r="H202" i="18"/>
  <c r="H198" i="18"/>
  <c r="H194" i="18"/>
  <c r="H190" i="18"/>
  <c r="H186" i="18"/>
  <c r="H182" i="18"/>
  <c r="H178" i="18"/>
  <c r="H174" i="18"/>
  <c r="H170" i="18"/>
  <c r="H166" i="18"/>
  <c r="H162" i="18"/>
  <c r="H158" i="18"/>
  <c r="H154" i="18"/>
  <c r="H150" i="18"/>
  <c r="H146" i="18"/>
  <c r="H142" i="18"/>
  <c r="H138" i="18"/>
  <c r="H134" i="18"/>
  <c r="H130" i="18"/>
  <c r="H126" i="18"/>
  <c r="H122" i="18"/>
  <c r="H118" i="18"/>
  <c r="H114" i="18"/>
  <c r="H110" i="18"/>
  <c r="H106" i="18"/>
  <c r="H102" i="18"/>
  <c r="H98" i="18"/>
  <c r="H94" i="18"/>
  <c r="H90" i="18"/>
  <c r="H86" i="18"/>
  <c r="H82" i="18"/>
  <c r="H78" i="18"/>
  <c r="H74" i="18"/>
  <c r="H70" i="18"/>
  <c r="H66" i="18"/>
  <c r="H21" i="18"/>
  <c r="H26" i="18"/>
  <c r="H32" i="18"/>
  <c r="H37" i="18"/>
  <c r="H42" i="18"/>
  <c r="H48" i="18"/>
  <c r="H53" i="18"/>
  <c r="H58" i="18"/>
  <c r="H64" i="18"/>
  <c r="H72" i="18"/>
  <c r="H80" i="18"/>
  <c r="H88" i="18"/>
  <c r="H96" i="18"/>
  <c r="H104" i="18"/>
  <c r="H112" i="18"/>
  <c r="H120" i="18"/>
  <c r="H128" i="18"/>
  <c r="H136" i="18"/>
  <c r="H144" i="18"/>
  <c r="H152" i="18"/>
  <c r="H160" i="18"/>
  <c r="H168" i="18"/>
  <c r="H176" i="18"/>
  <c r="H184" i="18"/>
  <c r="H192" i="18"/>
  <c r="H200" i="18"/>
  <c r="H208" i="18"/>
  <c r="H22" i="18"/>
  <c r="H28" i="18"/>
  <c r="H33" i="18"/>
  <c r="H38" i="18"/>
  <c r="H44" i="18"/>
  <c r="H49" i="18"/>
  <c r="H54" i="18"/>
  <c r="H60" i="18"/>
  <c r="H65" i="18"/>
  <c r="H73" i="18"/>
  <c r="H81" i="18"/>
  <c r="H89" i="18"/>
  <c r="H97" i="18"/>
  <c r="H105" i="18"/>
  <c r="H113" i="18"/>
  <c r="H121" i="18"/>
  <c r="H129" i="18"/>
  <c r="H137" i="18"/>
  <c r="H145" i="18"/>
  <c r="H153" i="18"/>
  <c r="H161" i="18"/>
  <c r="H169" i="18"/>
  <c r="H177" i="18"/>
  <c r="H185" i="18"/>
  <c r="H193" i="18"/>
  <c r="H201" i="18"/>
  <c r="H209" i="18"/>
  <c r="J38" i="29" l="1"/>
  <c r="K62" i="18"/>
  <c r="E11" i="29"/>
  <c r="K1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F8" i="29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C66" i="18" s="1"/>
  <c r="D38" i="18"/>
  <c r="D62" i="18" s="1"/>
  <c r="J19" i="18"/>
  <c r="D43" i="18"/>
  <c r="D67" i="18" s="1"/>
  <c r="D91" i="18" s="1"/>
  <c r="D103" i="18" s="1"/>
  <c r="D115" i="18" s="1"/>
  <c r="D127" i="18" s="1"/>
  <c r="D139" i="18" s="1"/>
  <c r="D151" i="18" s="1"/>
  <c r="D163" i="18" s="1"/>
  <c r="D175" i="18" s="1"/>
  <c r="B31" i="18"/>
  <c r="D42" i="18"/>
  <c r="D54" i="18" s="1"/>
  <c r="B30" i="18"/>
  <c r="D41" i="18"/>
  <c r="D65" i="18" s="1"/>
  <c r="B29" i="18"/>
  <c r="B28" i="18"/>
  <c r="C39" i="18"/>
  <c r="D39" i="18"/>
  <c r="D51" i="18" s="1"/>
  <c r="B27" i="18"/>
  <c r="B26" i="18"/>
  <c r="B25" i="18"/>
  <c r="B24" i="18"/>
  <c r="B23" i="18"/>
  <c r="B22" i="18"/>
  <c r="B21" i="18"/>
  <c r="D32" i="18"/>
  <c r="D44" i="18" s="1"/>
  <c r="B16" i="18"/>
  <c r="J1" i="18"/>
  <c r="C43" i="18"/>
  <c r="C55" i="18" s="1"/>
  <c r="B175" i="18"/>
  <c r="B174" i="18"/>
  <c r="B173" i="18"/>
  <c r="B172" i="18"/>
  <c r="B171" i="18"/>
  <c r="C38" i="18"/>
  <c r="C50" i="18" s="1"/>
  <c r="B170" i="18"/>
  <c r="C37" i="18"/>
  <c r="B169" i="18"/>
  <c r="B168" i="18"/>
  <c r="B167" i="18"/>
  <c r="B166" i="18"/>
  <c r="C33" i="18"/>
  <c r="C45" i="18" s="1"/>
  <c r="B165" i="18"/>
  <c r="C32" i="18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34" i="18"/>
  <c r="C46" i="18" s="1"/>
  <c r="C41" i="18"/>
  <c r="C65" i="18" s="1"/>
  <c r="D36" i="18"/>
  <c r="D48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C52" i="18" s="1"/>
  <c r="D63" i="18"/>
  <c r="D87" i="18" s="1"/>
  <c r="D99" i="18" s="1"/>
  <c r="D111" i="18" s="1"/>
  <c r="D123" i="18" s="1"/>
  <c r="D135" i="18" s="1"/>
  <c r="D147" i="18" s="1"/>
  <c r="D159" i="18" s="1"/>
  <c r="D35" i="18"/>
  <c r="D59" i="18" s="1"/>
  <c r="D83" i="18" s="1"/>
  <c r="D95" i="18" s="1"/>
  <c r="D107" i="18" s="1"/>
  <c r="D119" i="18" s="1"/>
  <c r="D131" i="18" s="1"/>
  <c r="D143" i="18" s="1"/>
  <c r="D155" i="18" s="1"/>
  <c r="D37" i="18"/>
  <c r="D61" i="18" s="1"/>
  <c r="D40" i="18"/>
  <c r="D33" i="18"/>
  <c r="D45" i="18" s="1"/>
  <c r="D34" i="18"/>
  <c r="D58" i="18" s="1"/>
  <c r="C49" i="18"/>
  <c r="C61" i="18"/>
  <c r="C73" i="18" s="1"/>
  <c r="D53" i="18"/>
  <c r="C64" i="18"/>
  <c r="C76" i="18" s="1"/>
  <c r="D55" i="18"/>
  <c r="C51" i="18"/>
  <c r="C63" i="18"/>
  <c r="C87" i="18" s="1"/>
  <c r="C99" i="18" s="1"/>
  <c r="C111" i="18" s="1"/>
  <c r="C123" i="18" s="1"/>
  <c r="C135" i="18" s="1"/>
  <c r="C147" i="18" s="1"/>
  <c r="C159" i="18" s="1"/>
  <c r="D79" i="18"/>
  <c r="C44" i="18"/>
  <c r="C56" i="18"/>
  <c r="C80" i="18" s="1"/>
  <c r="C92" i="18" s="1"/>
  <c r="C104" i="18" s="1"/>
  <c r="C116" i="18" s="1"/>
  <c r="C128" i="18" s="1"/>
  <c r="C140" i="18" s="1"/>
  <c r="C152" i="18" s="1"/>
  <c r="D66" i="18"/>
  <c r="D78" i="18" s="1"/>
  <c r="D50" i="18"/>
  <c r="C57" i="18"/>
  <c r="C81" i="18" s="1"/>
  <c r="C93" i="18" s="1"/>
  <c r="C105" i="18" s="1"/>
  <c r="C117" i="18" s="1"/>
  <c r="C129" i="18" s="1"/>
  <c r="C141" i="18" s="1"/>
  <c r="C153" i="18" s="1"/>
  <c r="C75" i="18"/>
  <c r="K119" i="18"/>
  <c r="K33" i="18"/>
  <c r="K169" i="18"/>
  <c r="K84" i="18"/>
  <c r="K128" i="18"/>
  <c r="K149" i="18"/>
  <c r="K61" i="18"/>
  <c r="K205" i="18"/>
  <c r="K192" i="18"/>
  <c r="K103" i="18"/>
  <c r="K161" i="18"/>
  <c r="K175" i="18"/>
  <c r="K150" i="18"/>
  <c r="K174" i="18"/>
  <c r="K151" i="18"/>
  <c r="K75" i="18"/>
  <c r="K173" i="18"/>
  <c r="K36" i="18"/>
  <c r="K176" i="18"/>
  <c r="K40" i="18"/>
  <c r="K95" i="18"/>
  <c r="K25" i="18"/>
  <c r="K122" i="18"/>
  <c r="K39" i="18"/>
  <c r="K134" i="18"/>
  <c r="K167" i="18"/>
  <c r="K64" i="18"/>
  <c r="K107" i="18"/>
  <c r="K35" i="18"/>
  <c r="K182" i="18"/>
  <c r="K195" i="18"/>
  <c r="K82" i="18"/>
  <c r="K162" i="18"/>
  <c r="K77" i="18"/>
  <c r="K79" i="18"/>
  <c r="K200" i="18"/>
  <c r="K55" i="18"/>
  <c r="K199" i="18"/>
  <c r="K60" i="18"/>
  <c r="K157" i="18"/>
  <c r="K166" i="18"/>
  <c r="K78" i="18"/>
  <c r="G29" i="29"/>
  <c r="D27" i="29"/>
  <c r="H32" i="29"/>
  <c r="E31" i="29"/>
  <c r="G21" i="29"/>
  <c r="G25" i="29"/>
  <c r="D26" i="29"/>
  <c r="E27" i="29"/>
  <c r="G31" i="29"/>
  <c r="D35" i="29"/>
  <c r="E28" i="29"/>
  <c r="D29" i="29"/>
  <c r="E35" i="29"/>
  <c r="G23" i="29"/>
  <c r="H24" i="29"/>
  <c r="G26" i="29"/>
  <c r="E23" i="29"/>
  <c r="E26" i="29"/>
  <c r="H30" i="29"/>
  <c r="E37" i="29"/>
  <c r="E21" i="29"/>
  <c r="D23" i="29"/>
  <c r="H33" i="29"/>
  <c r="G30" i="29"/>
  <c r="D37" i="29"/>
  <c r="H23" i="29"/>
  <c r="G32" i="29"/>
  <c r="D36" i="29"/>
  <c r="G24" i="29"/>
  <c r="H21" i="29"/>
  <c r="E32" i="29"/>
  <c r="E33" i="29"/>
  <c r="H35" i="29"/>
  <c r="H26" i="29"/>
  <c r="G36" i="29"/>
  <c r="G35" i="29"/>
  <c r="E25" i="29"/>
  <c r="E30" i="29"/>
  <c r="H31" i="29"/>
  <c r="D33" i="29"/>
  <c r="E24" i="29"/>
  <c r="G37" i="29"/>
  <c r="D30" i="29"/>
  <c r="H36" i="29"/>
  <c r="D32" i="29"/>
  <c r="E22" i="29"/>
  <c r="G22" i="29"/>
  <c r="H25" i="29"/>
  <c r="G33" i="29"/>
  <c r="D28" i="29"/>
  <c r="H37" i="29"/>
  <c r="G27" i="29"/>
  <c r="D22" i="29"/>
  <c r="H27" i="29"/>
  <c r="D31" i="29"/>
  <c r="G28" i="29"/>
  <c r="H28" i="29"/>
  <c r="D21" i="29"/>
  <c r="H22" i="29"/>
  <c r="D24" i="29"/>
  <c r="E36" i="29"/>
  <c r="D25" i="29"/>
  <c r="H29" i="29"/>
  <c r="E29" i="29"/>
  <c r="C54" i="18" l="1"/>
  <c r="C88" i="18"/>
  <c r="C100" i="18" s="1"/>
  <c r="C112" i="18" s="1"/>
  <c r="C124" i="18" s="1"/>
  <c r="C136" i="18" s="1"/>
  <c r="C148" i="18" s="1"/>
  <c r="C160" i="18" s="1"/>
  <c r="C53" i="18"/>
  <c r="D46" i="18"/>
  <c r="C85" i="18"/>
  <c r="C97" i="18" s="1"/>
  <c r="C109" i="18" s="1"/>
  <c r="C121" i="18" s="1"/>
  <c r="C133" i="18" s="1"/>
  <c r="C145" i="18" s="1"/>
  <c r="C157" i="18" s="1"/>
  <c r="C181" i="18" s="1"/>
  <c r="C193" i="18" s="1"/>
  <c r="C205" i="18" s="1"/>
  <c r="F10" i="29"/>
  <c r="D20" i="29"/>
  <c r="E20" i="29"/>
  <c r="C78" i="18"/>
  <c r="C90" i="18"/>
  <c r="C102" i="18" s="1"/>
  <c r="C114" i="18" s="1"/>
  <c r="C126" i="18" s="1"/>
  <c r="C138" i="18" s="1"/>
  <c r="C150" i="18" s="1"/>
  <c r="C162" i="18" s="1"/>
  <c r="C68" i="18"/>
  <c r="D57" i="18"/>
  <c r="D81" i="18" s="1"/>
  <c r="D93" i="18" s="1"/>
  <c r="D105" i="18" s="1"/>
  <c r="D117" i="18" s="1"/>
  <c r="D129" i="18" s="1"/>
  <c r="D141" i="18" s="1"/>
  <c r="D153" i="18" s="1"/>
  <c r="C72" i="18"/>
  <c r="C3" i="29"/>
  <c r="E10" i="29"/>
  <c r="O13" i="18"/>
  <c r="K53" i="18"/>
  <c r="K184" i="18"/>
  <c r="K50" i="18"/>
  <c r="K67" i="18"/>
  <c r="K116" i="18"/>
  <c r="K98" i="18"/>
  <c r="K66" i="18"/>
  <c r="K68" i="18"/>
  <c r="K54" i="18"/>
  <c r="K76" i="18"/>
  <c r="K106" i="18"/>
  <c r="K81" i="18"/>
  <c r="K154" i="18"/>
  <c r="K104" i="18"/>
  <c r="K59" i="18"/>
  <c r="K148" i="18"/>
  <c r="K24" i="18"/>
  <c r="K177" i="18"/>
  <c r="K165" i="18"/>
  <c r="K30" i="18"/>
  <c r="K83" i="18"/>
  <c r="K26" i="18"/>
  <c r="K129" i="18"/>
  <c r="K46" i="18"/>
  <c r="K86" i="18"/>
  <c r="K121" i="18"/>
  <c r="K43" i="18"/>
  <c r="K159" i="18"/>
  <c r="K135" i="18"/>
  <c r="K188" i="18"/>
  <c r="K198" i="18"/>
  <c r="K91" i="18"/>
  <c r="K34" i="18"/>
  <c r="K37" i="18"/>
  <c r="K41" i="18"/>
  <c r="K74" i="18"/>
  <c r="K158" i="18"/>
  <c r="K21" i="18"/>
  <c r="K201" i="18"/>
  <c r="K189" i="18"/>
  <c r="K168" i="18"/>
  <c r="K87" i="18"/>
  <c r="K97" i="18"/>
  <c r="K70" i="18"/>
  <c r="K170" i="18"/>
  <c r="K44" i="18"/>
  <c r="K136" i="18"/>
  <c r="K209" i="18"/>
  <c r="K22" i="18"/>
  <c r="K108" i="18"/>
  <c r="K105" i="18"/>
  <c r="K206" i="18"/>
  <c r="K179" i="18"/>
  <c r="K141" i="18"/>
  <c r="K72" i="18"/>
  <c r="K138" i="18"/>
  <c r="K211" i="18"/>
  <c r="K145" i="18"/>
  <c r="K185" i="18"/>
  <c r="K57" i="18"/>
  <c r="K124" i="18"/>
  <c r="K109" i="18"/>
  <c r="K120" i="18"/>
  <c r="K63" i="18"/>
  <c r="K137" i="18"/>
  <c r="K69" i="18"/>
  <c r="K31" i="18"/>
  <c r="K171" i="18"/>
  <c r="K65" i="18"/>
  <c r="K147" i="18"/>
  <c r="K208" i="18"/>
  <c r="K29" i="18"/>
  <c r="K114" i="18"/>
  <c r="K89" i="18"/>
  <c r="K42" i="18"/>
  <c r="K131" i="18"/>
  <c r="K96" i="18"/>
  <c r="K102" i="18"/>
  <c r="K113" i="18"/>
  <c r="K123" i="18"/>
  <c r="K132" i="18"/>
  <c r="K180" i="18"/>
  <c r="K85" i="18"/>
  <c r="K101" i="18"/>
  <c r="K94" i="18"/>
  <c r="K207" i="18"/>
  <c r="K155" i="18"/>
  <c r="K196" i="18"/>
  <c r="K191" i="18"/>
  <c r="K51" i="18"/>
  <c r="K186" i="18"/>
  <c r="K178" i="18"/>
  <c r="K23" i="18"/>
  <c r="K110" i="18"/>
  <c r="K56" i="18"/>
  <c r="K156" i="18"/>
  <c r="K48" i="18"/>
  <c r="K146" i="18"/>
  <c r="K73" i="18"/>
  <c r="K202" i="18"/>
  <c r="K204" i="18"/>
  <c r="K143" i="18"/>
  <c r="K38" i="18"/>
  <c r="K111" i="18"/>
  <c r="K118" i="18"/>
  <c r="K45" i="18"/>
  <c r="K190" i="18"/>
  <c r="K27" i="18"/>
  <c r="K183" i="18"/>
  <c r="K20" i="18"/>
  <c r="K100" i="18"/>
  <c r="K210" i="18"/>
  <c r="K99" i="18"/>
  <c r="K194" i="18"/>
  <c r="K71" i="18"/>
  <c r="K52" i="18"/>
  <c r="K125" i="18"/>
  <c r="K197" i="18"/>
  <c r="K93" i="18"/>
  <c r="K126" i="18"/>
  <c r="K139" i="18"/>
  <c r="E13" i="29"/>
  <c r="K49" i="18"/>
  <c r="K47" i="18"/>
  <c r="K187" i="18"/>
  <c r="K152" i="18"/>
  <c r="K181" i="18"/>
  <c r="K32" i="18"/>
  <c r="K28" i="18"/>
  <c r="K115" i="18"/>
  <c r="K130" i="18"/>
  <c r="K127" i="18"/>
  <c r="K153" i="18"/>
  <c r="K88" i="18"/>
  <c r="K92" i="18"/>
  <c r="K160" i="18"/>
  <c r="K80" i="18"/>
  <c r="J34" i="29"/>
  <c r="J39" i="29" s="1"/>
  <c r="K144" i="18"/>
  <c r="K203" i="18"/>
  <c r="K140" i="18"/>
  <c r="G212" i="18"/>
  <c r="K164" i="18"/>
  <c r="K58" i="18"/>
  <c r="K133" i="18"/>
  <c r="K117" i="18"/>
  <c r="K90" i="18"/>
  <c r="K193" i="18"/>
  <c r="C67" i="18"/>
  <c r="C79" i="18" s="1"/>
  <c r="D90" i="18"/>
  <c r="D102" i="18" s="1"/>
  <c r="D114" i="18" s="1"/>
  <c r="D126" i="18" s="1"/>
  <c r="D138" i="18" s="1"/>
  <c r="D150" i="18" s="1"/>
  <c r="D162" i="18" s="1"/>
  <c r="D174" i="18" s="1"/>
  <c r="D77" i="18"/>
  <c r="D89" i="18"/>
  <c r="D101" i="18" s="1"/>
  <c r="D113" i="18" s="1"/>
  <c r="D125" i="18" s="1"/>
  <c r="D137" i="18" s="1"/>
  <c r="D149" i="18" s="1"/>
  <c r="D161" i="18" s="1"/>
  <c r="D173" i="18" s="1"/>
  <c r="D74" i="18"/>
  <c r="D86" i="18"/>
  <c r="D98" i="18" s="1"/>
  <c r="D110" i="18" s="1"/>
  <c r="D122" i="18" s="1"/>
  <c r="D134" i="18" s="1"/>
  <c r="D146" i="18" s="1"/>
  <c r="D158" i="18" s="1"/>
  <c r="D170" i="18" s="1"/>
  <c r="C62" i="18"/>
  <c r="D49" i="18"/>
  <c r="D60" i="18"/>
  <c r="D72" i="18" s="1"/>
  <c r="C48" i="18"/>
  <c r="D71" i="18"/>
  <c r="C58" i="18"/>
  <c r="C69" i="18"/>
  <c r="D56" i="18"/>
  <c r="D80" i="18" s="1"/>
  <c r="D92" i="18" s="1"/>
  <c r="D104" i="18" s="1"/>
  <c r="D116" i="18" s="1"/>
  <c r="D128" i="18" s="1"/>
  <c r="D140" i="18" s="1"/>
  <c r="D152" i="18" s="1"/>
  <c r="F29" i="29"/>
  <c r="I29" i="29" s="1"/>
  <c r="K29" i="29" s="1"/>
  <c r="F32" i="29"/>
  <c r="I32" i="29" s="1"/>
  <c r="K32" i="29" s="1"/>
  <c r="F24" i="29"/>
  <c r="I24" i="29" s="1"/>
  <c r="K24" i="29" s="1"/>
  <c r="F30" i="29"/>
  <c r="I30" i="29" s="1"/>
  <c r="K30" i="29" s="1"/>
  <c r="H34" i="29"/>
  <c r="F37" i="29"/>
  <c r="I37" i="29" s="1"/>
  <c r="K37" i="29" s="1"/>
  <c r="G34" i="29"/>
  <c r="F27" i="29"/>
  <c r="I27" i="29" s="1"/>
  <c r="K27" i="29" s="1"/>
  <c r="F33" i="29"/>
  <c r="I33" i="29" s="1"/>
  <c r="K33" i="29" s="1"/>
  <c r="E34" i="29"/>
  <c r="F22" i="29"/>
  <c r="I22" i="29" s="1"/>
  <c r="K22" i="29" s="1"/>
  <c r="H38" i="29"/>
  <c r="F21" i="29"/>
  <c r="D34" i="29"/>
  <c r="F35" i="29"/>
  <c r="D38" i="29"/>
  <c r="F25" i="29"/>
  <c r="I25" i="29" s="1"/>
  <c r="K25" i="29" s="1"/>
  <c r="F28" i="29"/>
  <c r="I28" i="29" s="1"/>
  <c r="K28" i="29" s="1"/>
  <c r="E38" i="29"/>
  <c r="F31" i="29"/>
  <c r="I31" i="29" s="1"/>
  <c r="K31" i="29" s="1"/>
  <c r="G38" i="29"/>
  <c r="F36" i="29"/>
  <c r="I36" i="29" s="1"/>
  <c r="K36" i="29" s="1"/>
  <c r="F26" i="29"/>
  <c r="I26" i="29" s="1"/>
  <c r="K26" i="29" s="1"/>
  <c r="F23" i="29"/>
  <c r="I23" i="29" s="1"/>
  <c r="K23" i="29" s="1"/>
  <c r="C165" i="18"/>
  <c r="C177" i="18"/>
  <c r="C189" i="18" s="1"/>
  <c r="C201" i="18" s="1"/>
  <c r="D183" i="18"/>
  <c r="D195" i="18" s="1"/>
  <c r="D207" i="18" s="1"/>
  <c r="D171" i="18"/>
  <c r="C164" i="18"/>
  <c r="C176" i="18"/>
  <c r="C188" i="18" s="1"/>
  <c r="C200" i="18" s="1"/>
  <c r="C186" i="18"/>
  <c r="C198" i="18" s="1"/>
  <c r="C210" i="18" s="1"/>
  <c r="C174" i="18"/>
  <c r="C180" i="18"/>
  <c r="C192" i="18" s="1"/>
  <c r="C204" i="18" s="1"/>
  <c r="C168" i="18"/>
  <c r="C172" i="18"/>
  <c r="C184" i="18"/>
  <c r="C196" i="18" s="1"/>
  <c r="C208" i="18" s="1"/>
  <c r="O14" i="18"/>
  <c r="C171" i="18"/>
  <c r="C183" i="18"/>
  <c r="C195" i="18" s="1"/>
  <c r="C207" i="18" s="1"/>
  <c r="D167" i="18"/>
  <c r="D179" i="18"/>
  <c r="D191" i="18" s="1"/>
  <c r="D203" i="18" s="1"/>
  <c r="D70" i="18"/>
  <c r="D82" i="18"/>
  <c r="D94" i="18" s="1"/>
  <c r="D106" i="18" s="1"/>
  <c r="D118" i="18" s="1"/>
  <c r="D130" i="18" s="1"/>
  <c r="D142" i="18" s="1"/>
  <c r="D154" i="18" s="1"/>
  <c r="C47" i="18"/>
  <c r="C59" i="18"/>
  <c r="C169" i="18"/>
  <c r="D187" i="18"/>
  <c r="D199" i="18" s="1"/>
  <c r="D211" i="18" s="1"/>
  <c r="D85" i="18"/>
  <c r="D97" i="18" s="1"/>
  <c r="D109" i="18" s="1"/>
  <c r="D121" i="18" s="1"/>
  <c r="D133" i="18" s="1"/>
  <c r="D145" i="18" s="1"/>
  <c r="D157" i="18" s="1"/>
  <c r="D73" i="18"/>
  <c r="D47" i="18"/>
  <c r="C91" i="18"/>
  <c r="C103" i="18" s="1"/>
  <c r="C115" i="18" s="1"/>
  <c r="C127" i="18" s="1"/>
  <c r="C139" i="18" s="1"/>
  <c r="C151" i="18" s="1"/>
  <c r="C163" i="18" s="1"/>
  <c r="C89" i="18"/>
  <c r="C101" i="18" s="1"/>
  <c r="C113" i="18" s="1"/>
  <c r="C125" i="18" s="1"/>
  <c r="C137" i="18" s="1"/>
  <c r="C149" i="18" s="1"/>
  <c r="C161" i="18" s="1"/>
  <c r="C77" i="18"/>
  <c r="K142" i="18"/>
  <c r="D84" i="18"/>
  <c r="D96" i="18" s="1"/>
  <c r="D108" i="18" s="1"/>
  <c r="D120" i="18" s="1"/>
  <c r="D132" i="18" s="1"/>
  <c r="D144" i="18" s="1"/>
  <c r="D156" i="18" s="1"/>
  <c r="D69" i="18"/>
  <c r="D75" i="18"/>
  <c r="K163" i="18"/>
  <c r="K172" i="18"/>
  <c r="K112" i="18"/>
  <c r="D64" i="18"/>
  <c r="D52" i="18"/>
  <c r="D185" i="18" l="1"/>
  <c r="D197" i="18" s="1"/>
  <c r="D209" i="18" s="1"/>
  <c r="D68" i="18"/>
  <c r="D186" i="18"/>
  <c r="D198" i="18" s="1"/>
  <c r="D210" i="18" s="1"/>
  <c r="D182" i="18"/>
  <c r="D194" i="18" s="1"/>
  <c r="D206" i="18" s="1"/>
  <c r="G39" i="29"/>
  <c r="C86" i="18"/>
  <c r="C98" i="18" s="1"/>
  <c r="C110" i="18" s="1"/>
  <c r="C122" i="18" s="1"/>
  <c r="C134" i="18" s="1"/>
  <c r="C146" i="18" s="1"/>
  <c r="C158" i="18" s="1"/>
  <c r="C74" i="18"/>
  <c r="C82" i="18"/>
  <c r="C94" i="18" s="1"/>
  <c r="C106" i="18" s="1"/>
  <c r="C118" i="18" s="1"/>
  <c r="C130" i="18" s="1"/>
  <c r="C142" i="18" s="1"/>
  <c r="C154" i="18" s="1"/>
  <c r="C70" i="18"/>
  <c r="D177" i="18"/>
  <c r="D189" i="18" s="1"/>
  <c r="D201" i="18" s="1"/>
  <c r="D165" i="18"/>
  <c r="D164" i="18"/>
  <c r="D176" i="18"/>
  <c r="D188" i="18" s="1"/>
  <c r="D200" i="18" s="1"/>
  <c r="K14" i="18"/>
  <c r="I35" i="29"/>
  <c r="F38" i="29"/>
  <c r="D168" i="18"/>
  <c r="D180" i="18"/>
  <c r="D192" i="18" s="1"/>
  <c r="D204" i="18" s="1"/>
  <c r="P13" i="18"/>
  <c r="C173" i="18"/>
  <c r="C185" i="18"/>
  <c r="C197" i="18" s="1"/>
  <c r="C209" i="18" s="1"/>
  <c r="P14" i="18"/>
  <c r="P212" i="18"/>
  <c r="D166" i="18"/>
  <c r="D178" i="18"/>
  <c r="D190" i="18" s="1"/>
  <c r="D202" i="18" s="1"/>
  <c r="K13" i="18"/>
  <c r="K212" i="18"/>
  <c r="D39" i="29"/>
  <c r="E39" i="29"/>
  <c r="D88" i="18"/>
  <c r="D100" i="18" s="1"/>
  <c r="D112" i="18" s="1"/>
  <c r="D124" i="18" s="1"/>
  <c r="D136" i="18" s="1"/>
  <c r="D148" i="18" s="1"/>
  <c r="D160" i="18" s="1"/>
  <c r="D76" i="18"/>
  <c r="C175" i="18"/>
  <c r="C187" i="18"/>
  <c r="C199" i="18" s="1"/>
  <c r="C211" i="18" s="1"/>
  <c r="D181" i="18"/>
  <c r="D193" i="18" s="1"/>
  <c r="D205" i="18" s="1"/>
  <c r="D169" i="18"/>
  <c r="C83" i="18"/>
  <c r="C95" i="18" s="1"/>
  <c r="C107" i="18" s="1"/>
  <c r="C119" i="18" s="1"/>
  <c r="C131" i="18" s="1"/>
  <c r="C143" i="18" s="1"/>
  <c r="C155" i="18" s="1"/>
  <c r="C71" i="18"/>
  <c r="F34" i="29"/>
  <c r="I21" i="29"/>
  <c r="H39" i="29"/>
  <c r="F39" i="29" l="1"/>
  <c r="Q13" i="18"/>
  <c r="Q14" i="18"/>
  <c r="C170" i="18"/>
  <c r="C182" i="18"/>
  <c r="C194" i="18" s="1"/>
  <c r="C206" i="18" s="1"/>
  <c r="C178" i="18"/>
  <c r="C190" i="18" s="1"/>
  <c r="C202" i="18" s="1"/>
  <c r="C166" i="18"/>
  <c r="K21" i="29"/>
  <c r="I34" i="29"/>
  <c r="I38" i="29"/>
  <c r="K38" i="29" s="1"/>
  <c r="K35" i="29"/>
  <c r="C167" i="18"/>
  <c r="C179" i="18"/>
  <c r="C191" i="18" s="1"/>
  <c r="C203" i="18" s="1"/>
  <c r="D184" i="18"/>
  <c r="D196" i="18" s="1"/>
  <c r="D208" i="18" s="1"/>
  <c r="D172" i="18"/>
  <c r="K34" i="29" l="1"/>
  <c r="I39" i="29"/>
  <c r="K39" i="29" l="1"/>
  <c r="F12" i="29" l="1"/>
  <c r="I68" i="18" l="1"/>
  <c r="J68" i="18" s="1"/>
  <c r="L68" i="18" s="1"/>
  <c r="I155" i="18"/>
  <c r="J155" i="18" s="1"/>
  <c r="L155" i="18" s="1"/>
  <c r="I129" i="18"/>
  <c r="J129" i="18" s="1"/>
  <c r="L129" i="18" s="1"/>
  <c r="I116" i="18"/>
  <c r="J116" i="18" s="1"/>
  <c r="L116" i="18" s="1"/>
  <c r="I98" i="18"/>
  <c r="J98" i="18" s="1"/>
  <c r="L98" i="18" s="1"/>
  <c r="I112" i="18"/>
  <c r="J112" i="18" s="1"/>
  <c r="L112" i="18" s="1"/>
  <c r="I201" i="18"/>
  <c r="J201" i="18" s="1"/>
  <c r="L201" i="18" s="1"/>
  <c r="I54" i="18"/>
  <c r="J54" i="18" s="1"/>
  <c r="L54" i="18" s="1"/>
  <c r="I153" i="18"/>
  <c r="J153" i="18" s="1"/>
  <c r="L153" i="18" s="1"/>
  <c r="I120" i="18"/>
  <c r="J120" i="18" s="1"/>
  <c r="L120" i="18" s="1"/>
  <c r="I199" i="18"/>
  <c r="J199" i="18" s="1"/>
  <c r="L199" i="18" s="1"/>
  <c r="I28" i="18"/>
  <c r="J28" i="18" s="1"/>
  <c r="L28" i="18" s="1"/>
  <c r="I191" i="18"/>
  <c r="J191" i="18" s="1"/>
  <c r="L191" i="18" s="1"/>
  <c r="I25" i="18"/>
  <c r="J25" i="18" s="1"/>
  <c r="L25" i="18" s="1"/>
  <c r="I80" i="18"/>
  <c r="J80" i="18" s="1"/>
  <c r="L80" i="18" s="1"/>
  <c r="I77" i="18"/>
  <c r="J77" i="18" s="1"/>
  <c r="L77" i="18" s="1"/>
  <c r="I49" i="18"/>
  <c r="J49" i="18" s="1"/>
  <c r="L49" i="18" s="1"/>
  <c r="I170" i="18"/>
  <c r="J170" i="18" s="1"/>
  <c r="L170" i="18" s="1"/>
  <c r="I35" i="18"/>
  <c r="J35" i="18" s="1"/>
  <c r="L35" i="18" s="1"/>
  <c r="I156" i="18"/>
  <c r="J156" i="18" s="1"/>
  <c r="L156" i="18" s="1"/>
  <c r="I32" i="18"/>
  <c r="J32" i="18" s="1"/>
  <c r="L32" i="18" s="1"/>
  <c r="I181" i="18"/>
  <c r="J181" i="18" s="1"/>
  <c r="L181" i="18" s="1"/>
  <c r="I128" i="18"/>
  <c r="J128" i="18" s="1"/>
  <c r="L128" i="18" s="1"/>
  <c r="I165" i="18"/>
  <c r="J165" i="18" s="1"/>
  <c r="L165" i="18" s="1"/>
  <c r="I115" i="18"/>
  <c r="J115" i="18" s="1"/>
  <c r="L115" i="18" s="1"/>
  <c r="I127" i="18"/>
  <c r="J127" i="18" s="1"/>
  <c r="L127" i="18" s="1"/>
  <c r="I103" i="18"/>
  <c r="J103" i="18" s="1"/>
  <c r="L103" i="18" s="1"/>
  <c r="I110" i="18"/>
  <c r="J110" i="18" s="1"/>
  <c r="L110" i="18" s="1"/>
  <c r="I45" i="18"/>
  <c r="J45" i="18" s="1"/>
  <c r="L45" i="18" s="1"/>
  <c r="I144" i="18"/>
  <c r="J144" i="18" s="1"/>
  <c r="L144" i="18" s="1"/>
  <c r="I65" i="18"/>
  <c r="J65" i="18" s="1"/>
  <c r="L65" i="18" s="1"/>
  <c r="I189" i="18"/>
  <c r="J189" i="18" s="1"/>
  <c r="L189" i="18" s="1"/>
  <c r="I202" i="18"/>
  <c r="J202" i="18" s="1"/>
  <c r="L202" i="18" s="1"/>
  <c r="I20" i="18"/>
  <c r="J20" i="18" s="1"/>
  <c r="I188" i="18"/>
  <c r="J188" i="18" s="1"/>
  <c r="L188" i="18" s="1"/>
  <c r="I34" i="18"/>
  <c r="J34" i="18" s="1"/>
  <c r="L34" i="18" s="1"/>
  <c r="I168" i="18"/>
  <c r="J168" i="18" s="1"/>
  <c r="L168" i="18" s="1"/>
  <c r="I59" i="18"/>
  <c r="J59" i="18" s="1"/>
  <c r="L59" i="18" s="1"/>
  <c r="I206" i="18"/>
  <c r="J206" i="18" s="1"/>
  <c r="L206" i="18" s="1"/>
  <c r="I149" i="18"/>
  <c r="J149" i="18" s="1"/>
  <c r="L149" i="18" s="1"/>
  <c r="I47" i="18"/>
  <c r="J47" i="18" s="1"/>
  <c r="L47" i="18" s="1"/>
  <c r="I24" i="18"/>
  <c r="J24" i="18" s="1"/>
  <c r="L24" i="18" s="1"/>
  <c r="I87" i="18"/>
  <c r="J87" i="18" s="1"/>
  <c r="L87" i="18" s="1"/>
  <c r="I161" i="18"/>
  <c r="J161" i="18" s="1"/>
  <c r="L161" i="18" s="1"/>
  <c r="I118" i="18"/>
  <c r="J118" i="18" s="1"/>
  <c r="L118" i="18" s="1"/>
  <c r="I30" i="18"/>
  <c r="J30" i="18" s="1"/>
  <c r="L30" i="18" s="1"/>
  <c r="I142" i="18"/>
  <c r="J142" i="18" s="1"/>
  <c r="L142" i="18" s="1"/>
  <c r="I148" i="18"/>
  <c r="J148" i="18" s="1"/>
  <c r="L148" i="18" s="1"/>
  <c r="I119" i="18"/>
  <c r="J119" i="18" s="1"/>
  <c r="L119" i="18" s="1"/>
  <c r="I52" i="18"/>
  <c r="J52" i="18" s="1"/>
  <c r="L52" i="18" s="1"/>
  <c r="I190" i="18"/>
  <c r="J190" i="18" s="1"/>
  <c r="L190" i="18" s="1"/>
  <c r="I84" i="18"/>
  <c r="J84" i="18" s="1"/>
  <c r="L84" i="18" s="1"/>
  <c r="I75" i="18"/>
  <c r="J75" i="18" s="1"/>
  <c r="L75" i="18" s="1"/>
  <c r="I66" i="18"/>
  <c r="J66" i="18" s="1"/>
  <c r="L66" i="18" s="1"/>
  <c r="I37" i="18"/>
  <c r="J37" i="18" s="1"/>
  <c r="L37" i="18" s="1"/>
  <c r="I177" i="18"/>
  <c r="J177" i="18" s="1"/>
  <c r="L177" i="18" s="1"/>
  <c r="I203" i="18"/>
  <c r="J203" i="18" s="1"/>
  <c r="L203" i="18" s="1"/>
  <c r="I85" i="18"/>
  <c r="J85" i="18" s="1"/>
  <c r="L85" i="18" s="1"/>
  <c r="I27" i="18"/>
  <c r="J27" i="18" s="1"/>
  <c r="L27" i="18" s="1"/>
  <c r="I58" i="18"/>
  <c r="J58" i="18" s="1"/>
  <c r="L58" i="18" s="1"/>
  <c r="I81" i="18"/>
  <c r="J81" i="18" s="1"/>
  <c r="L81" i="18" s="1"/>
  <c r="I71" i="18"/>
  <c r="J71" i="18" s="1"/>
  <c r="L71" i="18" s="1"/>
  <c r="I123" i="18"/>
  <c r="J123" i="18" s="1"/>
  <c r="L123" i="18" s="1"/>
  <c r="I91" i="18"/>
  <c r="J91" i="18" s="1"/>
  <c r="L91" i="18" s="1"/>
  <c r="I178" i="18"/>
  <c r="J178" i="18" s="1"/>
  <c r="L178" i="18" s="1"/>
  <c r="I172" i="18"/>
  <c r="J172" i="18" s="1"/>
  <c r="L172" i="18" s="1"/>
  <c r="I111" i="18"/>
  <c r="J111" i="18" s="1"/>
  <c r="L111" i="18" s="1"/>
  <c r="I56" i="18"/>
  <c r="J56" i="18" s="1"/>
  <c r="I186" i="18"/>
  <c r="J186" i="18" s="1"/>
  <c r="L186" i="18" s="1"/>
  <c r="I126" i="18"/>
  <c r="J126" i="18" s="1"/>
  <c r="L126" i="18" s="1"/>
  <c r="I182" i="18"/>
  <c r="J182" i="18" s="1"/>
  <c r="L182" i="18" s="1"/>
  <c r="I196" i="18"/>
  <c r="J196" i="18" s="1"/>
  <c r="L196" i="18" s="1"/>
  <c r="I107" i="18"/>
  <c r="J107" i="18" s="1"/>
  <c r="L107" i="18" s="1"/>
  <c r="I38" i="18"/>
  <c r="J38" i="18" s="1"/>
  <c r="L38" i="18" s="1"/>
  <c r="I69" i="18"/>
  <c r="J69" i="18" s="1"/>
  <c r="L69" i="18" s="1"/>
  <c r="I79" i="18"/>
  <c r="J79" i="18" s="1"/>
  <c r="L79" i="18" s="1"/>
  <c r="I55" i="18"/>
  <c r="J55" i="18" s="1"/>
  <c r="L55" i="18" s="1"/>
  <c r="I183" i="18"/>
  <c r="J183" i="18" s="1"/>
  <c r="L183" i="18" s="1"/>
  <c r="I194" i="18"/>
  <c r="J194" i="18" s="1"/>
  <c r="L194" i="18" s="1"/>
  <c r="I167" i="18"/>
  <c r="J167" i="18" s="1"/>
  <c r="L167" i="18" s="1"/>
  <c r="I173" i="18"/>
  <c r="J173" i="18" s="1"/>
  <c r="L173" i="18" s="1"/>
  <c r="I164" i="18"/>
  <c r="J164" i="18" s="1"/>
  <c r="L164" i="18" s="1"/>
  <c r="I105" i="18"/>
  <c r="J105" i="18" s="1"/>
  <c r="L105" i="18" s="1"/>
  <c r="I160" i="18"/>
  <c r="J160" i="18" s="1"/>
  <c r="L160" i="18" s="1"/>
  <c r="I184" i="18"/>
  <c r="J184" i="18" s="1"/>
  <c r="L184" i="18" s="1"/>
  <c r="I63" i="18"/>
  <c r="J63" i="18" s="1"/>
  <c r="L63" i="18" s="1"/>
  <c r="I57" i="18"/>
  <c r="J57" i="18" s="1"/>
  <c r="L57" i="18" s="1"/>
  <c r="I70" i="18"/>
  <c r="J70" i="18" s="1"/>
  <c r="L70" i="18" s="1"/>
  <c r="I94" i="18"/>
  <c r="J94" i="18" s="1"/>
  <c r="L94" i="18" s="1"/>
  <c r="I130" i="18"/>
  <c r="J130" i="18" s="1"/>
  <c r="L130" i="18" s="1"/>
  <c r="I209" i="18"/>
  <c r="J209" i="18" s="1"/>
  <c r="L209" i="18" s="1"/>
  <c r="I138" i="18"/>
  <c r="J138" i="18" s="1"/>
  <c r="L138" i="18" s="1"/>
  <c r="I42" i="18"/>
  <c r="J42" i="18" s="1"/>
  <c r="L42" i="18" s="1"/>
  <c r="I141" i="18"/>
  <c r="J141" i="18" s="1"/>
  <c r="L141" i="18" s="1"/>
  <c r="I187" i="18"/>
  <c r="J187" i="18" s="1"/>
  <c r="L187" i="18" s="1"/>
  <c r="I92" i="18"/>
  <c r="J92" i="18" s="1"/>
  <c r="L92" i="18" s="1"/>
  <c r="I90" i="18"/>
  <c r="J90" i="18" s="1"/>
  <c r="L90" i="18" s="1"/>
  <c r="I124" i="18"/>
  <c r="J124" i="18" s="1"/>
  <c r="L124" i="18" s="1"/>
  <c r="I114" i="18"/>
  <c r="J114" i="18" s="1"/>
  <c r="L114" i="18" s="1"/>
  <c r="I195" i="18"/>
  <c r="J195" i="18" s="1"/>
  <c r="L195" i="18" s="1"/>
  <c r="I21" i="18"/>
  <c r="J21" i="18" s="1"/>
  <c r="L21" i="18" s="1"/>
  <c r="I102" i="18"/>
  <c r="J102" i="18" s="1"/>
  <c r="L102" i="18" s="1"/>
  <c r="I152" i="18"/>
  <c r="J152" i="18" s="1"/>
  <c r="L152" i="18" s="1"/>
  <c r="I93" i="18"/>
  <c r="J93" i="18" s="1"/>
  <c r="L93" i="18" s="1"/>
  <c r="I62" i="18"/>
  <c r="J62" i="18" s="1"/>
  <c r="L62" i="18" s="1"/>
  <c r="I146" i="18"/>
  <c r="J146" i="18" s="1"/>
  <c r="L146" i="18" s="1"/>
  <c r="I23" i="18"/>
  <c r="J23" i="18" s="1"/>
  <c r="L23" i="18" s="1"/>
  <c r="I204" i="18"/>
  <c r="J204" i="18" s="1"/>
  <c r="L204" i="18" s="1"/>
  <c r="I159" i="18"/>
  <c r="J159" i="18" s="1"/>
  <c r="L159" i="18" s="1"/>
  <c r="I44" i="18"/>
  <c r="J44" i="18" s="1"/>
  <c r="L44" i="18" s="1"/>
  <c r="I41" i="18"/>
  <c r="J41" i="18" s="1"/>
  <c r="L41" i="18" s="1"/>
  <c r="I175" i="18"/>
  <c r="J175" i="18" s="1"/>
  <c r="L175" i="18" s="1"/>
  <c r="I64" i="18"/>
  <c r="J64" i="18" s="1"/>
  <c r="L64" i="18" s="1"/>
  <c r="I95" i="18"/>
  <c r="J95" i="18" s="1"/>
  <c r="L95" i="18" s="1"/>
  <c r="I33" i="18"/>
  <c r="J33" i="18" s="1"/>
  <c r="L33" i="18" s="1"/>
  <c r="I171" i="18"/>
  <c r="J171" i="18" s="1"/>
  <c r="L171" i="18" s="1"/>
  <c r="I157" i="18"/>
  <c r="J157" i="18" s="1"/>
  <c r="L157" i="18" s="1"/>
  <c r="I137" i="18"/>
  <c r="J137" i="18" s="1"/>
  <c r="L137" i="18" s="1"/>
  <c r="I104" i="18"/>
  <c r="J104" i="18" s="1"/>
  <c r="L104" i="18" s="1"/>
  <c r="I145" i="18"/>
  <c r="J145" i="18" s="1"/>
  <c r="L145" i="18" s="1"/>
  <c r="I150" i="18"/>
  <c r="J150" i="18" s="1"/>
  <c r="L150" i="18" s="1"/>
  <c r="I207" i="18"/>
  <c r="J207" i="18" s="1"/>
  <c r="L207" i="18" s="1"/>
  <c r="I26" i="18"/>
  <c r="J26" i="18" s="1"/>
  <c r="L26" i="18" s="1"/>
  <c r="I131" i="18"/>
  <c r="J131" i="18" s="1"/>
  <c r="L131" i="18" s="1"/>
  <c r="I210" i="18"/>
  <c r="J210" i="18" s="1"/>
  <c r="L210" i="18" s="1"/>
  <c r="I193" i="18"/>
  <c r="J193" i="18" s="1"/>
  <c r="L193" i="18" s="1"/>
  <c r="I99" i="18"/>
  <c r="J99" i="18" s="1"/>
  <c r="L99" i="18" s="1"/>
  <c r="I174" i="18"/>
  <c r="J174" i="18" s="1"/>
  <c r="L174" i="18" s="1"/>
  <c r="I72" i="18"/>
  <c r="J72" i="18" s="1"/>
  <c r="L72" i="18" s="1"/>
  <c r="I73" i="18"/>
  <c r="J73" i="18" s="1"/>
  <c r="L73" i="18" s="1"/>
  <c r="I78" i="18"/>
  <c r="J78" i="18" s="1"/>
  <c r="L78" i="18" s="1"/>
  <c r="I132" i="18"/>
  <c r="J132" i="18" s="1"/>
  <c r="L132" i="18" s="1"/>
  <c r="I48" i="18"/>
  <c r="J48" i="18" s="1"/>
  <c r="L48" i="18" s="1"/>
  <c r="I29" i="18"/>
  <c r="J29" i="18" s="1"/>
  <c r="L29" i="18" s="1"/>
  <c r="I147" i="18"/>
  <c r="J147" i="18" s="1"/>
  <c r="L147" i="18" s="1"/>
  <c r="F14" i="29"/>
  <c r="I197" i="18"/>
  <c r="J197" i="18" s="1"/>
  <c r="L197" i="18" s="1"/>
  <c r="I89" i="18"/>
  <c r="J89" i="18" s="1"/>
  <c r="L89" i="18" s="1"/>
  <c r="I100" i="18"/>
  <c r="J100" i="18" s="1"/>
  <c r="L100" i="18" s="1"/>
  <c r="I76" i="18"/>
  <c r="J76" i="18" s="1"/>
  <c r="L76" i="18" s="1"/>
  <c r="I43" i="18"/>
  <c r="J43" i="18" s="1"/>
  <c r="L43" i="18" s="1"/>
  <c r="I208" i="18"/>
  <c r="J208" i="18" s="1"/>
  <c r="L208" i="18" s="1"/>
  <c r="I96" i="18"/>
  <c r="J96" i="18" s="1"/>
  <c r="L96" i="18" s="1"/>
  <c r="I166" i="18"/>
  <c r="J166" i="18" s="1"/>
  <c r="L166" i="18" s="1"/>
  <c r="I50" i="18"/>
  <c r="J50" i="18" s="1"/>
  <c r="L50" i="18" s="1"/>
  <c r="I22" i="18"/>
  <c r="J22" i="18" s="1"/>
  <c r="L22" i="18" s="1"/>
  <c r="I51" i="18"/>
  <c r="J51" i="18" s="1"/>
  <c r="L51" i="18" s="1"/>
  <c r="I53" i="18"/>
  <c r="J53" i="18" s="1"/>
  <c r="L53" i="18" s="1"/>
  <c r="I134" i="18"/>
  <c r="J134" i="18" s="1"/>
  <c r="L134" i="18" s="1"/>
  <c r="I192" i="18"/>
  <c r="J192" i="18" s="1"/>
  <c r="L192" i="18" s="1"/>
  <c r="I121" i="18"/>
  <c r="J121" i="18" s="1"/>
  <c r="L121" i="18" s="1"/>
  <c r="I82" i="18"/>
  <c r="J82" i="18" s="1"/>
  <c r="L82" i="18" s="1"/>
  <c r="I101" i="18"/>
  <c r="J101" i="18" s="1"/>
  <c r="L101" i="18" s="1"/>
  <c r="I135" i="18"/>
  <c r="J135" i="18" s="1"/>
  <c r="L135" i="18" s="1"/>
  <c r="I113" i="18"/>
  <c r="J113" i="18" s="1"/>
  <c r="L113" i="18" s="1"/>
  <c r="I143" i="18"/>
  <c r="J143" i="18" s="1"/>
  <c r="L143" i="18" s="1"/>
  <c r="I60" i="18"/>
  <c r="J60" i="18" s="1"/>
  <c r="L60" i="18" s="1"/>
  <c r="I40" i="18"/>
  <c r="J40" i="18" s="1"/>
  <c r="L40" i="18" s="1"/>
  <c r="I136" i="18"/>
  <c r="J136" i="18" s="1"/>
  <c r="L136" i="18" s="1"/>
  <c r="I162" i="18"/>
  <c r="J162" i="18" s="1"/>
  <c r="L162" i="18" s="1"/>
  <c r="I140" i="18"/>
  <c r="J140" i="18" s="1"/>
  <c r="L140" i="18" s="1"/>
  <c r="I185" i="18"/>
  <c r="J185" i="18" s="1"/>
  <c r="L185" i="18" s="1"/>
  <c r="I74" i="18"/>
  <c r="J74" i="18" s="1"/>
  <c r="L74" i="18" s="1"/>
  <c r="I133" i="18"/>
  <c r="J133" i="18" s="1"/>
  <c r="L133" i="18" s="1"/>
  <c r="I46" i="18"/>
  <c r="J46" i="18" s="1"/>
  <c r="L46" i="18" s="1"/>
  <c r="I31" i="18"/>
  <c r="J31" i="18" s="1"/>
  <c r="L31" i="18" s="1"/>
  <c r="I154" i="18"/>
  <c r="J154" i="18" s="1"/>
  <c r="L154" i="18" s="1"/>
  <c r="I125" i="18"/>
  <c r="J125" i="18" s="1"/>
  <c r="L125" i="18" s="1"/>
  <c r="I211" i="18"/>
  <c r="J211" i="18" s="1"/>
  <c r="L211" i="18" s="1"/>
  <c r="I122" i="18"/>
  <c r="J122" i="18" s="1"/>
  <c r="L122" i="18" s="1"/>
  <c r="I61" i="18"/>
  <c r="J61" i="18" s="1"/>
  <c r="L61" i="18" s="1"/>
  <c r="I163" i="18"/>
  <c r="J163" i="18" s="1"/>
  <c r="L163" i="18" s="1"/>
  <c r="I200" i="18"/>
  <c r="J200" i="18" s="1"/>
  <c r="L200" i="18" s="1"/>
  <c r="I139" i="18"/>
  <c r="J139" i="18" s="1"/>
  <c r="L139" i="18" s="1"/>
  <c r="I86" i="18"/>
  <c r="J86" i="18" s="1"/>
  <c r="L86" i="18" s="1"/>
  <c r="I36" i="18"/>
  <c r="J36" i="18" s="1"/>
  <c r="L36" i="18" s="1"/>
  <c r="I169" i="18"/>
  <c r="J169" i="18" s="1"/>
  <c r="L169" i="18" s="1"/>
  <c r="I88" i="18"/>
  <c r="J88" i="18" s="1"/>
  <c r="L88" i="18" s="1"/>
  <c r="I106" i="18"/>
  <c r="J106" i="18" s="1"/>
  <c r="L106" i="18" s="1"/>
  <c r="I117" i="18"/>
  <c r="J117" i="18" s="1"/>
  <c r="L117" i="18" s="1"/>
  <c r="I180" i="18"/>
  <c r="J180" i="18" s="1"/>
  <c r="L180" i="18" s="1"/>
  <c r="I205" i="18"/>
  <c r="J205" i="18" s="1"/>
  <c r="L205" i="18" s="1"/>
  <c r="I108" i="18"/>
  <c r="J108" i="18" s="1"/>
  <c r="L108" i="18" s="1"/>
  <c r="I151" i="18"/>
  <c r="J151" i="18" s="1"/>
  <c r="L151" i="18" s="1"/>
  <c r="I179" i="18"/>
  <c r="J179" i="18" s="1"/>
  <c r="L179" i="18" s="1"/>
  <c r="I109" i="18"/>
  <c r="J109" i="18" s="1"/>
  <c r="L109" i="18" s="1"/>
  <c r="I83" i="18"/>
  <c r="J83" i="18" s="1"/>
  <c r="L83" i="18" s="1"/>
  <c r="I176" i="18"/>
  <c r="J176" i="18" s="1"/>
  <c r="L176" i="18" s="1"/>
  <c r="I97" i="18"/>
  <c r="J97" i="18" s="1"/>
  <c r="L97" i="18" s="1"/>
  <c r="I158" i="18"/>
  <c r="J158" i="18" s="1"/>
  <c r="L158" i="18" s="1"/>
  <c r="I67" i="18"/>
  <c r="J67" i="18" s="1"/>
  <c r="L67" i="18" s="1"/>
  <c r="I39" i="18"/>
  <c r="J39" i="18" s="1"/>
  <c r="L39" i="18" s="1"/>
  <c r="I198" i="18"/>
  <c r="J198" i="18" s="1"/>
  <c r="L198" i="18" s="1"/>
  <c r="L20" i="18" l="1"/>
  <c r="J14" i="18"/>
  <c r="J212" i="18"/>
  <c r="L56" i="18"/>
  <c r="J13" i="18"/>
  <c r="L212" i="18" l="1"/>
  <c r="L14" i="18"/>
  <c r="L13" i="18"/>
  <c r="M34" i="18" l="1"/>
  <c r="N34" i="18" s="1"/>
  <c r="R34" i="18" s="1"/>
  <c r="M22" i="18"/>
  <c r="N22" i="18" s="1"/>
  <c r="R22" i="18" s="1"/>
  <c r="M92" i="18"/>
  <c r="N92" i="18" s="1"/>
  <c r="R92" i="18" s="1"/>
  <c r="M78" i="18"/>
  <c r="N78" i="18" s="1"/>
  <c r="R78" i="18" s="1"/>
  <c r="M162" i="18"/>
  <c r="N162" i="18" s="1"/>
  <c r="R162" i="18" s="1"/>
  <c r="M188" i="18"/>
  <c r="N188" i="18" s="1"/>
  <c r="R188" i="18" s="1"/>
  <c r="M146" i="18"/>
  <c r="N146" i="18" s="1"/>
  <c r="R146" i="18" s="1"/>
  <c r="M123" i="18"/>
  <c r="N123" i="18" s="1"/>
  <c r="R123" i="18" s="1"/>
  <c r="M143" i="18"/>
  <c r="N143" i="18" s="1"/>
  <c r="R143" i="18" s="1"/>
  <c r="M24" i="18"/>
  <c r="N24" i="18" s="1"/>
  <c r="R24" i="18" s="1"/>
  <c r="M43" i="18"/>
  <c r="N43" i="18" s="1"/>
  <c r="R43" i="18" s="1"/>
  <c r="M47" i="18"/>
  <c r="N47" i="18" s="1"/>
  <c r="R47" i="18" s="1"/>
  <c r="M121" i="18"/>
  <c r="N121" i="18" s="1"/>
  <c r="R121" i="18" s="1"/>
  <c r="M94" i="18"/>
  <c r="N94" i="18" s="1"/>
  <c r="R94" i="18" s="1"/>
  <c r="M138" i="18"/>
  <c r="N138" i="18" s="1"/>
  <c r="R138" i="18" s="1"/>
  <c r="M156" i="18"/>
  <c r="N156" i="18" s="1"/>
  <c r="R156" i="18" s="1"/>
  <c r="M98" i="18"/>
  <c r="N98" i="18" s="1"/>
  <c r="R98" i="18" s="1"/>
  <c r="M54" i="18"/>
  <c r="N54" i="18" s="1"/>
  <c r="R54" i="18" s="1"/>
  <c r="M176" i="18"/>
  <c r="N176" i="18" s="1"/>
  <c r="R176" i="18" s="1"/>
  <c r="M195" i="18"/>
  <c r="N195" i="18" s="1"/>
  <c r="R195" i="18" s="1"/>
  <c r="M70" i="18"/>
  <c r="N70" i="18" s="1"/>
  <c r="R70" i="18" s="1"/>
  <c r="M197" i="18"/>
  <c r="N197" i="18" s="1"/>
  <c r="R197" i="18" s="1"/>
  <c r="M191" i="18"/>
  <c r="N191" i="18" s="1"/>
  <c r="R191" i="18" s="1"/>
  <c r="M171" i="18"/>
  <c r="N171" i="18" s="1"/>
  <c r="R171" i="18" s="1"/>
  <c r="M72" i="18"/>
  <c r="N72" i="18" s="1"/>
  <c r="R72" i="18" s="1"/>
  <c r="M21" i="18"/>
  <c r="N21" i="18" s="1"/>
  <c r="R21" i="18" s="1"/>
  <c r="M203" i="18"/>
  <c r="N203" i="18" s="1"/>
  <c r="R203" i="18" s="1"/>
  <c r="M37" i="18"/>
  <c r="N37" i="18" s="1"/>
  <c r="R37" i="18" s="1"/>
  <c r="M130" i="18"/>
  <c r="N130" i="18" s="1"/>
  <c r="R130" i="18" s="1"/>
  <c r="M198" i="18"/>
  <c r="N198" i="18" s="1"/>
  <c r="R198" i="18" s="1"/>
  <c r="M190" i="18"/>
  <c r="N190" i="18" s="1"/>
  <c r="R190" i="18" s="1"/>
  <c r="M62" i="18"/>
  <c r="N62" i="18" s="1"/>
  <c r="R62" i="18" s="1"/>
  <c r="M154" i="18"/>
  <c r="N154" i="18" s="1"/>
  <c r="R154" i="18" s="1"/>
  <c r="M207" i="18"/>
  <c r="N207" i="18" s="1"/>
  <c r="R207" i="18" s="1"/>
  <c r="M20" i="18"/>
  <c r="M205" i="18"/>
  <c r="N205" i="18" s="1"/>
  <c r="R205" i="18" s="1"/>
  <c r="M32" i="18"/>
  <c r="N32" i="18" s="1"/>
  <c r="R32" i="18" s="1"/>
  <c r="M67" i="18"/>
  <c r="N67" i="18" s="1"/>
  <c r="R67" i="18" s="1"/>
  <c r="M31" i="18"/>
  <c r="N31" i="18" s="1"/>
  <c r="R31" i="18" s="1"/>
  <c r="M109" i="18"/>
  <c r="N109" i="18" s="1"/>
  <c r="R109" i="18" s="1"/>
  <c r="M152" i="18"/>
  <c r="N152" i="18" s="1"/>
  <c r="R152" i="18" s="1"/>
  <c r="M55" i="18"/>
  <c r="N55" i="18" s="1"/>
  <c r="R55" i="18" s="1"/>
  <c r="M40" i="18"/>
  <c r="N40" i="18" s="1"/>
  <c r="R40" i="18" s="1"/>
  <c r="M66" i="18"/>
  <c r="N66" i="18" s="1"/>
  <c r="R66" i="18" s="1"/>
  <c r="M139" i="18"/>
  <c r="N139" i="18" s="1"/>
  <c r="R139" i="18" s="1"/>
  <c r="M56" i="18"/>
  <c r="M167" i="18"/>
  <c r="N167" i="18" s="1"/>
  <c r="R167" i="18" s="1"/>
  <c r="M53" i="18"/>
  <c r="N53" i="18" s="1"/>
  <c r="R53" i="18" s="1"/>
  <c r="M183" i="18"/>
  <c r="N183" i="18" s="1"/>
  <c r="R183" i="18" s="1"/>
  <c r="M163" i="18"/>
  <c r="N163" i="18" s="1"/>
  <c r="R163" i="18" s="1"/>
  <c r="M97" i="18"/>
  <c r="N97" i="18" s="1"/>
  <c r="R97" i="18" s="1"/>
  <c r="M140" i="18"/>
  <c r="N140" i="18" s="1"/>
  <c r="R140" i="18" s="1"/>
  <c r="M200" i="18"/>
  <c r="N200" i="18" s="1"/>
  <c r="R200" i="18" s="1"/>
  <c r="M82" i="18"/>
  <c r="N82" i="18" s="1"/>
  <c r="R82" i="18" s="1"/>
  <c r="M89" i="18"/>
  <c r="N89" i="18" s="1"/>
  <c r="R89" i="18" s="1"/>
  <c r="M135" i="18"/>
  <c r="N135" i="18" s="1"/>
  <c r="R135" i="18" s="1"/>
  <c r="M86" i="18"/>
  <c r="N86" i="18" s="1"/>
  <c r="R86" i="18" s="1"/>
  <c r="M155" i="18"/>
  <c r="N155" i="18" s="1"/>
  <c r="R155" i="18" s="1"/>
  <c r="M111" i="18"/>
  <c r="N111" i="18" s="1"/>
  <c r="R111" i="18" s="1"/>
  <c r="M134" i="18"/>
  <c r="N134" i="18" s="1"/>
  <c r="R134" i="18" s="1"/>
  <c r="M35" i="18"/>
  <c r="N35" i="18" s="1"/>
  <c r="R35" i="18" s="1"/>
  <c r="M110" i="18"/>
  <c r="N110" i="18" s="1"/>
  <c r="R110" i="18" s="1"/>
  <c r="M81" i="18"/>
  <c r="N81" i="18" s="1"/>
  <c r="R81" i="18" s="1"/>
  <c r="M175" i="18"/>
  <c r="N175" i="18" s="1"/>
  <c r="R175" i="18" s="1"/>
  <c r="M107" i="18"/>
  <c r="N107" i="18" s="1"/>
  <c r="R107" i="18" s="1"/>
  <c r="M182" i="18"/>
  <c r="N182" i="18" s="1"/>
  <c r="R182" i="18" s="1"/>
  <c r="M172" i="18"/>
  <c r="N172" i="18" s="1"/>
  <c r="R172" i="18" s="1"/>
  <c r="M124" i="18"/>
  <c r="N124" i="18" s="1"/>
  <c r="R124" i="18" s="1"/>
  <c r="M103" i="18"/>
  <c r="N103" i="18" s="1"/>
  <c r="R103" i="18" s="1"/>
  <c r="M96" i="18"/>
  <c r="N96" i="18" s="1"/>
  <c r="R96" i="18" s="1"/>
  <c r="M206" i="18"/>
  <c r="N206" i="18" s="1"/>
  <c r="R206" i="18" s="1"/>
  <c r="M61" i="18"/>
  <c r="N61" i="18" s="1"/>
  <c r="R61" i="18" s="1"/>
  <c r="M84" i="18"/>
  <c r="N84" i="18" s="1"/>
  <c r="R84" i="18" s="1"/>
  <c r="M145" i="18"/>
  <c r="N145" i="18" s="1"/>
  <c r="R145" i="18" s="1"/>
  <c r="M106" i="18"/>
  <c r="N106" i="18" s="1"/>
  <c r="R106" i="18" s="1"/>
  <c r="M100" i="18"/>
  <c r="N100" i="18" s="1"/>
  <c r="R100" i="18" s="1"/>
  <c r="M26" i="18"/>
  <c r="N26" i="18" s="1"/>
  <c r="R26" i="18" s="1"/>
  <c r="M208" i="18"/>
  <c r="N208" i="18" s="1"/>
  <c r="R208" i="18" s="1"/>
  <c r="M148" i="18"/>
  <c r="N148" i="18" s="1"/>
  <c r="R148" i="18" s="1"/>
  <c r="M83" i="18"/>
  <c r="N83" i="18" s="1"/>
  <c r="R83" i="18" s="1"/>
  <c r="M150" i="18"/>
  <c r="N150" i="18" s="1"/>
  <c r="R150" i="18" s="1"/>
  <c r="M184" i="18"/>
  <c r="N184" i="18" s="1"/>
  <c r="R184" i="18" s="1"/>
  <c r="M59" i="18"/>
  <c r="N59" i="18" s="1"/>
  <c r="R59" i="18" s="1"/>
  <c r="M137" i="18"/>
  <c r="N137" i="18" s="1"/>
  <c r="R137" i="18" s="1"/>
  <c r="M161" i="18"/>
  <c r="N161" i="18" s="1"/>
  <c r="R161" i="18" s="1"/>
  <c r="M64" i="18"/>
  <c r="N64" i="18" s="1"/>
  <c r="R64" i="18" s="1"/>
  <c r="M211" i="18"/>
  <c r="N211" i="18" s="1"/>
  <c r="R211" i="18" s="1"/>
  <c r="M189" i="18"/>
  <c r="N189" i="18" s="1"/>
  <c r="R189" i="18" s="1"/>
  <c r="M133" i="18"/>
  <c r="N133" i="18" s="1"/>
  <c r="R133" i="18" s="1"/>
  <c r="M136" i="18"/>
  <c r="N136" i="18" s="1"/>
  <c r="R136" i="18" s="1"/>
  <c r="M116" i="18"/>
  <c r="N116" i="18" s="1"/>
  <c r="R116" i="18" s="1"/>
  <c r="M91" i="18"/>
  <c r="N91" i="18" s="1"/>
  <c r="R91" i="18" s="1"/>
  <c r="M144" i="18"/>
  <c r="N144" i="18" s="1"/>
  <c r="R144" i="18" s="1"/>
  <c r="M108" i="18"/>
  <c r="N108" i="18" s="1"/>
  <c r="R108" i="18" s="1"/>
  <c r="M159" i="18"/>
  <c r="N159" i="18" s="1"/>
  <c r="R159" i="18" s="1"/>
  <c r="M27" i="18"/>
  <c r="N27" i="18" s="1"/>
  <c r="R27" i="18" s="1"/>
  <c r="M99" i="18"/>
  <c r="N99" i="18" s="1"/>
  <c r="R99" i="18" s="1"/>
  <c r="M85" i="18"/>
  <c r="N85" i="18" s="1"/>
  <c r="R85" i="18" s="1"/>
  <c r="M30" i="18"/>
  <c r="N30" i="18" s="1"/>
  <c r="R30" i="18" s="1"/>
  <c r="M201" i="18"/>
  <c r="N201" i="18" s="1"/>
  <c r="R201" i="18" s="1"/>
  <c r="M74" i="18"/>
  <c r="N74" i="18" s="1"/>
  <c r="R74" i="18" s="1"/>
  <c r="M39" i="18"/>
  <c r="N39" i="18" s="1"/>
  <c r="R39" i="18" s="1"/>
  <c r="M44" i="18"/>
  <c r="N44" i="18" s="1"/>
  <c r="R44" i="18" s="1"/>
  <c r="M76" i="18"/>
  <c r="N76" i="18" s="1"/>
  <c r="R76" i="18" s="1"/>
  <c r="M129" i="18"/>
  <c r="N129" i="18" s="1"/>
  <c r="R129" i="18" s="1"/>
  <c r="M210" i="18"/>
  <c r="N210" i="18" s="1"/>
  <c r="R210" i="18" s="1"/>
  <c r="M57" i="18"/>
  <c r="N57" i="18" s="1"/>
  <c r="R57" i="18" s="1"/>
  <c r="M181" i="18"/>
  <c r="N181" i="18" s="1"/>
  <c r="R181" i="18" s="1"/>
  <c r="M132" i="18"/>
  <c r="N132" i="18" s="1"/>
  <c r="R132" i="18" s="1"/>
  <c r="M102" i="18"/>
  <c r="N102" i="18" s="1"/>
  <c r="R102" i="18" s="1"/>
  <c r="M170" i="18"/>
  <c r="N170" i="18" s="1"/>
  <c r="R170" i="18" s="1"/>
  <c r="M196" i="18"/>
  <c r="N196" i="18" s="1"/>
  <c r="R196" i="18" s="1"/>
  <c r="M192" i="18"/>
  <c r="N192" i="18" s="1"/>
  <c r="R192" i="18" s="1"/>
  <c r="M58" i="18"/>
  <c r="N58" i="18" s="1"/>
  <c r="R58" i="18" s="1"/>
  <c r="M23" i="18"/>
  <c r="N23" i="18" s="1"/>
  <c r="R23" i="18" s="1"/>
  <c r="M71" i="18"/>
  <c r="N71" i="18" s="1"/>
  <c r="R71" i="18" s="1"/>
  <c r="M48" i="18"/>
  <c r="N48" i="18" s="1"/>
  <c r="R48" i="18" s="1"/>
  <c r="M52" i="18"/>
  <c r="N52" i="18" s="1"/>
  <c r="R52" i="18" s="1"/>
  <c r="M204" i="18"/>
  <c r="N204" i="18" s="1"/>
  <c r="R204" i="18" s="1"/>
  <c r="M174" i="18"/>
  <c r="N174" i="18" s="1"/>
  <c r="R174" i="18" s="1"/>
  <c r="M187" i="18"/>
  <c r="N187" i="18" s="1"/>
  <c r="R187" i="18" s="1"/>
  <c r="M95" i="18"/>
  <c r="N95" i="18" s="1"/>
  <c r="R95" i="18" s="1"/>
  <c r="M168" i="18"/>
  <c r="N168" i="18" s="1"/>
  <c r="R168" i="18" s="1"/>
  <c r="M118" i="18"/>
  <c r="N118" i="18" s="1"/>
  <c r="R118" i="18" s="1"/>
  <c r="M28" i="18"/>
  <c r="N28" i="18" s="1"/>
  <c r="R28" i="18" s="1"/>
  <c r="M209" i="18"/>
  <c r="N209" i="18" s="1"/>
  <c r="R209" i="18" s="1"/>
  <c r="M33" i="18"/>
  <c r="N33" i="18" s="1"/>
  <c r="R33" i="18" s="1"/>
  <c r="M114" i="18"/>
  <c r="N114" i="18" s="1"/>
  <c r="R114" i="18" s="1"/>
  <c r="M120" i="18"/>
  <c r="N120" i="18" s="1"/>
  <c r="R120" i="18" s="1"/>
  <c r="M105" i="18"/>
  <c r="N105" i="18" s="1"/>
  <c r="R105" i="18" s="1"/>
  <c r="M126" i="18"/>
  <c r="N126" i="18" s="1"/>
  <c r="R126" i="18" s="1"/>
  <c r="M179" i="18"/>
  <c r="N179" i="18" s="1"/>
  <c r="R179" i="18" s="1"/>
  <c r="M68" i="18"/>
  <c r="N68" i="18" s="1"/>
  <c r="R68" i="18" s="1"/>
  <c r="M202" i="18"/>
  <c r="N202" i="18" s="1"/>
  <c r="R202" i="18" s="1"/>
  <c r="M151" i="18"/>
  <c r="N151" i="18" s="1"/>
  <c r="R151" i="18" s="1"/>
  <c r="M131" i="18"/>
  <c r="N131" i="18" s="1"/>
  <c r="R131" i="18" s="1"/>
  <c r="M185" i="18"/>
  <c r="N185" i="18" s="1"/>
  <c r="R185" i="18" s="1"/>
  <c r="M158" i="18"/>
  <c r="N158" i="18" s="1"/>
  <c r="R158" i="18" s="1"/>
  <c r="M73" i="18"/>
  <c r="N73" i="18" s="1"/>
  <c r="R73" i="18" s="1"/>
  <c r="M160" i="18"/>
  <c r="N160" i="18" s="1"/>
  <c r="R160" i="18" s="1"/>
  <c r="M87" i="18"/>
  <c r="N87" i="18" s="1"/>
  <c r="R87" i="18" s="1"/>
  <c r="M50" i="18"/>
  <c r="N50" i="18" s="1"/>
  <c r="R50" i="18" s="1"/>
  <c r="M166" i="18"/>
  <c r="N166" i="18" s="1"/>
  <c r="R166" i="18" s="1"/>
  <c r="M194" i="18"/>
  <c r="N194" i="18" s="1"/>
  <c r="R194" i="18" s="1"/>
  <c r="M90" i="18"/>
  <c r="N90" i="18" s="1"/>
  <c r="R90" i="18" s="1"/>
  <c r="M93" i="18"/>
  <c r="N93" i="18" s="1"/>
  <c r="R93" i="18" s="1"/>
  <c r="M127" i="18"/>
  <c r="N127" i="18" s="1"/>
  <c r="R127" i="18" s="1"/>
  <c r="M164" i="18"/>
  <c r="N164" i="18" s="1"/>
  <c r="R164" i="18" s="1"/>
  <c r="M117" i="18"/>
  <c r="N117" i="18" s="1"/>
  <c r="R117" i="18" s="1"/>
  <c r="M25" i="18"/>
  <c r="N25" i="18" s="1"/>
  <c r="R25" i="18" s="1"/>
  <c r="M141" i="18"/>
  <c r="N141" i="18" s="1"/>
  <c r="R141" i="18" s="1"/>
  <c r="M173" i="18"/>
  <c r="N173" i="18" s="1"/>
  <c r="R173" i="18" s="1"/>
  <c r="M101" i="18"/>
  <c r="N101" i="18" s="1"/>
  <c r="R101" i="18" s="1"/>
  <c r="M88" i="18"/>
  <c r="N88" i="18" s="1"/>
  <c r="R88" i="18" s="1"/>
  <c r="M119" i="18"/>
  <c r="N119" i="18" s="1"/>
  <c r="R119" i="18" s="1"/>
  <c r="M142" i="18"/>
  <c r="N142" i="18" s="1"/>
  <c r="R142" i="18" s="1"/>
  <c r="M38" i="18"/>
  <c r="N38" i="18" s="1"/>
  <c r="R38" i="18" s="1"/>
  <c r="M36" i="18"/>
  <c r="N36" i="18" s="1"/>
  <c r="R36" i="18" s="1"/>
  <c r="M69" i="18"/>
  <c r="N69" i="18" s="1"/>
  <c r="R69" i="18" s="1"/>
  <c r="M60" i="18"/>
  <c r="N60" i="18" s="1"/>
  <c r="R60" i="18" s="1"/>
  <c r="M125" i="18"/>
  <c r="N125" i="18" s="1"/>
  <c r="R125" i="18" s="1"/>
  <c r="M80" i="18"/>
  <c r="N80" i="18" s="1"/>
  <c r="R80" i="18" s="1"/>
  <c r="M177" i="18"/>
  <c r="N177" i="18" s="1"/>
  <c r="R177" i="18" s="1"/>
  <c r="M186" i="18"/>
  <c r="N186" i="18" s="1"/>
  <c r="R186" i="18" s="1"/>
  <c r="M46" i="18"/>
  <c r="N46" i="18" s="1"/>
  <c r="R46" i="18" s="1"/>
  <c r="M112" i="18"/>
  <c r="N112" i="18" s="1"/>
  <c r="R112" i="18" s="1"/>
  <c r="M45" i="18"/>
  <c r="N45" i="18" s="1"/>
  <c r="R45" i="18" s="1"/>
  <c r="M169" i="18"/>
  <c r="N169" i="18" s="1"/>
  <c r="R169" i="18" s="1"/>
  <c r="M199" i="18"/>
  <c r="N199" i="18" s="1"/>
  <c r="R199" i="18" s="1"/>
  <c r="M149" i="18"/>
  <c r="N149" i="18" s="1"/>
  <c r="R149" i="18" s="1"/>
  <c r="M122" i="18"/>
  <c r="N122" i="18" s="1"/>
  <c r="R122" i="18" s="1"/>
  <c r="M147" i="18"/>
  <c r="N147" i="18" s="1"/>
  <c r="R147" i="18" s="1"/>
  <c r="M113" i="18"/>
  <c r="N113" i="18" s="1"/>
  <c r="R113" i="18" s="1"/>
  <c r="M29" i="18"/>
  <c r="N29" i="18" s="1"/>
  <c r="R29" i="18" s="1"/>
  <c r="M128" i="18"/>
  <c r="N128" i="18" s="1"/>
  <c r="R128" i="18" s="1"/>
  <c r="M115" i="18"/>
  <c r="N115" i="18" s="1"/>
  <c r="R115" i="18" s="1"/>
  <c r="M49" i="18"/>
  <c r="N49" i="18" s="1"/>
  <c r="R49" i="18" s="1"/>
  <c r="M65" i="18"/>
  <c r="N65" i="18" s="1"/>
  <c r="R65" i="18" s="1"/>
  <c r="M51" i="18"/>
  <c r="N51" i="18" s="1"/>
  <c r="R51" i="18" s="1"/>
  <c r="M41" i="18"/>
  <c r="N41" i="18" s="1"/>
  <c r="R41" i="18" s="1"/>
  <c r="M42" i="18"/>
  <c r="N42" i="18" s="1"/>
  <c r="R42" i="18" s="1"/>
  <c r="M157" i="18"/>
  <c r="N157" i="18" s="1"/>
  <c r="R157" i="18" s="1"/>
  <c r="M104" i="18"/>
  <c r="N104" i="18" s="1"/>
  <c r="R104" i="18" s="1"/>
  <c r="M153" i="18"/>
  <c r="N153" i="18" s="1"/>
  <c r="R153" i="18" s="1"/>
  <c r="M79" i="18"/>
  <c r="N79" i="18" s="1"/>
  <c r="R79" i="18" s="1"/>
  <c r="M75" i="18"/>
  <c r="N75" i="18" s="1"/>
  <c r="R75" i="18" s="1"/>
  <c r="M180" i="18"/>
  <c r="N180" i="18" s="1"/>
  <c r="R180" i="18" s="1"/>
  <c r="M193" i="18"/>
  <c r="N193" i="18" s="1"/>
  <c r="R193" i="18" s="1"/>
  <c r="M77" i="18"/>
  <c r="N77" i="18" s="1"/>
  <c r="R77" i="18" s="1"/>
  <c r="M165" i="18"/>
  <c r="N165" i="18" s="1"/>
  <c r="R165" i="18" s="1"/>
  <c r="M178" i="18"/>
  <c r="N178" i="18" s="1"/>
  <c r="R178" i="18" s="1"/>
  <c r="M63" i="18"/>
  <c r="N63" i="18" s="1"/>
  <c r="R63" i="18" s="1"/>
  <c r="M212" i="18" l="1"/>
  <c r="N20" i="18"/>
  <c r="M13" i="18"/>
  <c r="N56" i="18"/>
  <c r="N13" i="18" l="1"/>
  <c r="R56" i="18"/>
  <c r="R13" i="18" s="1"/>
  <c r="R20" i="18"/>
  <c r="N14" i="18"/>
  <c r="R14" i="18" l="1"/>
  <c r="R212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<sst xmlns="http://schemas.openxmlformats.org/spreadsheetml/2006/main" count="421" uniqueCount="105">
  <si>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</si>
  <si>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</si>
  <si>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</si>
  <si>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</si>
  <si>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</si>
  <si>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</si>
  <si>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</si>
  <si>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</si>
  <si>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</si>
  <si>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</si>
  <si>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</si>
  <si>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</si>
  <si>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</si>
  <si>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</si>
  <si>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</si>
  <si>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</si>
  <si>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</si>
  <si>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</si>
  <si>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</si>
  <si>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</si>
  <si>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</si>
  <si>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</si>
  <si>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</si>
  <si>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</si>
  <si>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</si>
  <si>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</si>
  <si>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</si>
  <si>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</si>
  <si>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</si>
  <si>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</si>
  <si>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</si>
  <si>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</si>
  <si>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</si>
  <si>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</si>
  <si>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</si>
  <si>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</si>
  <si>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</si>
  <si>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</si>
  <si>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</si>
  <si>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</si>
  <si>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</si>
  <si>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</si>
  <si>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</si>
  <si>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</si>
  <si>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</si>
  <si>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</si>
  <si>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</si>
  <si>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</si>
  <si>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</si>
  <si>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</si>
  <si>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</si>
  <si>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</si>
  <si>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</si>
  <si>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</si>
  <si>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</si>
  <si>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</si>
  <si>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</si>
  <si>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</si>
  <si>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</si>
  <si>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</si>
  <si>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</si>
  <si>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</si>
  <si>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</si>
  <si>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</si>
  <si>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</si>
  <si>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</si>
  <si>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</si>
  <si>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</si>
  <si>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</si>
  <si>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</si>
  <si>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</si>
  <si>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</si>
  <si>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</si>
  <si>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</si>
  <si>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</si>
  <si>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</si>
  <si>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</si>
  <si>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</si>
  <si>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</si>
  <si>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</si>
  <si>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</si>
  <si>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</si>
  <si>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</si>
  <si>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</si>
  <si>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</si>
  <si>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</si>
  <si>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</si>
  <si>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</si>
  <si>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</si>
  <si>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</si>
  <si>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</si>
  <si>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</si>
  <si>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</si>
  <si>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PUBLIC SERVICE COMPANY of OKLAHOMA &amp; SOUTHWESTERN ELECTRIC POWER</t>
  </si>
  <si>
    <t>(H)</t>
  </si>
  <si>
    <t xml:space="preserve"> (I) = (G) + (H)</t>
  </si>
  <si>
    <t>AEPTCo Formula Rate -- FERC Docket ER18-195</t>
  </si>
  <si>
    <t>Network Customer True-Up (Schedule 1 charges)</t>
  </si>
  <si>
    <t>2020 True Up Including Interest</t>
  </si>
  <si>
    <t>2019 Tax True Up</t>
  </si>
  <si>
    <t>2017 ROE Refund</t>
  </si>
  <si>
    <r>
      <t>2021 True-Up
(</t>
    </r>
    <r>
      <rPr>
        <sz val="10"/>
        <rFont val="Arial"/>
        <family val="2"/>
      </rPr>
      <t>w/o Interest)</t>
    </r>
  </si>
  <si>
    <t>2021 Interest</t>
  </si>
  <si>
    <t>Total 2021
True-Up Surcharge / (Refund)</t>
  </si>
  <si>
    <t>Total NITS Surcharge /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</si>
</sst>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0" xfId="0" applyNumberFormat="1" applyProtection="1"/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0" fillId="0" borderId="0" xfId="0" quotePrefix="1" applyFont="1" applyFill="1" applyBorder="1" applyAlignment="1" applyProtection="1">
      <alignment horizontal="center" vertical="center"/>
    </xf>
    <xf numFmtId="167" fontId="2" fillId="0" borderId="0" xfId="0" quotePrefix="1" applyNumberFormat="1" applyFont="1" applyProtection="1"/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6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7" xfId="2" applyNumberFormat="1" applyFont="1" applyBorder="1" applyProtection="1"/>
    <xf numFmtId="165" fontId="0" fillId="0" borderId="18" xfId="2" applyNumberFormat="1" applyFont="1" applyBorder="1" applyProtection="1"/>
    <xf numFmtId="165" fontId="0" fillId="0" borderId="19" xfId="2" applyNumberFormat="1" applyFont="1" applyBorder="1" applyProtection="1"/>
    <xf numFmtId="165" fontId="0" fillId="0" borderId="11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20" xfId="0" applyBorder="1" applyProtection="1"/>
    <xf numFmtId="0" fontId="9" fillId="3" borderId="21" xfId="0" quotePrefix="1" applyFont="1" applyFill="1" applyBorder="1" applyAlignment="1" applyProtection="1">
      <alignment horizontal="left" vertical="center" wrapText="1"/>
    </xf>
    <xf numFmtId="165" fontId="0" fillId="3" borderId="22" xfId="2" applyNumberFormat="1" applyFont="1" applyFill="1" applyBorder="1" applyAlignment="1" applyProtection="1">
      <alignment vertical="center"/>
    </xf>
    <xf numFmtId="165" fontId="0" fillId="3" borderId="23" xfId="2" applyNumberFormat="1" applyFont="1" applyFill="1" applyBorder="1" applyAlignment="1" applyProtection="1">
      <alignment vertical="center"/>
    </xf>
    <xf numFmtId="165" fontId="3" fillId="3" borderId="24" xfId="2" applyNumberFormat="1" applyFont="1" applyFill="1" applyBorder="1" applyAlignment="1" applyProtection="1">
      <alignment vertical="center"/>
    </xf>
    <xf numFmtId="165" fontId="3" fillId="3" borderId="25" xfId="2" applyNumberFormat="1" applyFont="1" applyFill="1" applyBorder="1" applyAlignment="1" applyProtection="1">
      <alignment vertical="center"/>
    </xf>
    <xf numFmtId="165" fontId="3" fillId="3" borderId="26" xfId="2" applyNumberFormat="1" applyFont="1" applyFill="1" applyBorder="1" applyAlignment="1" applyProtection="1">
      <alignment vertical="center"/>
    </xf>
    <xf numFmtId="0" fontId="0" fillId="0" borderId="27" xfId="0" quotePrefix="1" applyBorder="1" applyAlignment="1" applyProtection="1">
      <alignment horizontal="left"/>
    </xf>
    <xf numFmtId="0" fontId="0" fillId="0" borderId="19" xfId="0" applyBorder="1" applyProtection="1"/>
    <xf numFmtId="0" fontId="0" fillId="0" borderId="28" xfId="0" applyBorder="1" applyProtection="1"/>
    <xf numFmtId="0" fontId="9" fillId="0" borderId="21" xfId="0" quotePrefix="1" applyFont="1" applyFill="1" applyBorder="1" applyAlignment="1" applyProtection="1">
      <alignment horizontal="left" vertical="center" wrapText="1"/>
    </xf>
    <xf numFmtId="165" fontId="0" fillId="0" borderId="22" xfId="2" applyNumberFormat="1" applyFont="1" applyFill="1" applyBorder="1" applyAlignment="1" applyProtection="1">
      <alignment vertical="center"/>
    </xf>
    <xf numFmtId="165" fontId="0" fillId="0" borderId="23" xfId="2" applyNumberFormat="1" applyFont="1" applyFill="1" applyBorder="1" applyAlignment="1" applyProtection="1">
      <alignment vertical="center"/>
    </xf>
    <xf numFmtId="165" fontId="3" fillId="0" borderId="24" xfId="2" applyNumberFormat="1" applyFont="1" applyFill="1" applyBorder="1" applyAlignment="1" applyProtection="1">
      <alignment vertical="center"/>
    </xf>
    <xf numFmtId="165" fontId="3" fillId="0" borderId="25" xfId="2" applyNumberFormat="1" applyFont="1" applyFill="1" applyBorder="1" applyAlignment="1" applyProtection="1">
      <alignment vertical="center"/>
    </xf>
    <xf numFmtId="165" fontId="3" fillId="0" borderId="26" xfId="2" applyNumberFormat="1" applyFont="1" applyFill="1" applyBorder="1" applyAlignment="1" applyProtection="1">
      <alignment vertical="center"/>
    </xf>
    <xf numFmtId="166" fontId="0" fillId="0" borderId="0" xfId="1" applyNumberFormat="1" applyFont="1" applyProtection="1"/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9" xfId="2" applyNumberFormat="1" applyFont="1" applyBorder="1" applyAlignment="1" applyProtection="1">
      <alignment vertical="center"/>
    </xf>
    <xf numFmtId="165" fontId="0" fillId="0" borderId="30" xfId="2" applyNumberFormat="1" applyFont="1" applyBorder="1" applyAlignment="1" applyProtection="1">
      <alignment vertical="center"/>
    </xf>
    <xf numFmtId="165" fontId="0" fillId="0" borderId="31" xfId="2" applyNumberFormat="1" applyFont="1" applyBorder="1" applyAlignment="1" applyProtection="1">
      <alignment vertical="center"/>
    </xf>
    <xf numFmtId="165" fontId="0" fillId="0" borderId="32" xfId="2" applyNumberFormat="1" applyFont="1" applyBorder="1" applyAlignment="1" applyProtection="1">
      <alignment vertical="center"/>
    </xf>
    <xf numFmtId="165" fontId="0" fillId="0" borderId="33" xfId="2" applyNumberFormat="1" applyFont="1" applyBorder="1" applyAlignment="1" applyProtection="1">
      <alignment vertical="center"/>
    </xf>
    <xf numFmtId="166" fontId="0" fillId="0" borderId="0" xfId="0" applyNumberFormat="1" applyProtection="1"/>
    <xf numFmtId="0" fontId="0" fillId="0" borderId="38" xfId="0" applyBorder="1" applyProtection="1"/>
    <xf numFmtId="0" fontId="0" fillId="0" borderId="39" xfId="0" applyBorder="1" applyProtection="1"/>
    <xf numFmtId="0" fontId="0" fillId="0" borderId="38" xfId="0" pivotButton="1" applyBorder="1" applyProtection="1"/>
    <xf numFmtId="0" fontId="0" fillId="0" borderId="40" xfId="0" applyBorder="1" applyProtection="1"/>
    <xf numFmtId="17" fontId="0" fillId="0" borderId="38" xfId="0" applyNumberFormat="1" applyBorder="1" applyProtection="1"/>
    <xf numFmtId="17" fontId="0" fillId="0" borderId="41" xfId="0" applyNumberFormat="1" applyBorder="1" applyProtection="1"/>
    <xf numFmtId="17" fontId="0" fillId="0" borderId="42" xfId="0" applyNumberFormat="1" applyBorder="1" applyProtection="1"/>
    <xf numFmtId="166" fontId="0" fillId="0" borderId="38" xfId="0" applyNumberFormat="1" applyBorder="1" applyProtection="1"/>
    <xf numFmtId="166" fontId="0" fillId="0" borderId="41" xfId="0" applyNumberFormat="1" applyBorder="1" applyProtection="1"/>
    <xf numFmtId="166" fontId="0" fillId="0" borderId="42" xfId="0" applyNumberFormat="1" applyBorder="1" applyProtection="1"/>
    <xf numFmtId="0" fontId="0" fillId="0" borderId="43" xfId="0" applyBorder="1" applyProtection="1"/>
    <xf numFmtId="166" fontId="0" fillId="0" borderId="43" xfId="0" applyNumberFormat="1" applyBorder="1" applyProtection="1"/>
    <xf numFmtId="166" fontId="0" fillId="0" borderId="44" xfId="0" applyNumberFormat="1" applyBorder="1" applyProtection="1"/>
    <xf numFmtId="0" fontId="0" fillId="0" borderId="45" xfId="0" applyBorder="1" applyProtection="1"/>
    <xf numFmtId="166" fontId="0" fillId="0" borderId="45" xfId="0" applyNumberFormat="1" applyBorder="1" applyProtection="1"/>
    <xf numFmtId="166" fontId="0" fillId="0" borderId="46" xfId="0" applyNumberFormat="1" applyBorder="1" applyProtection="1"/>
    <xf numFmtId="166" fontId="0" fillId="0" borderId="47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6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quotePrefix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4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4" xfId="0" quotePrefix="1" applyBorder="1" applyAlignment="1" applyProtection="1">
      <alignment horizontal="right"/>
    </xf>
    <xf numFmtId="0" fontId="0" fillId="0" borderId="23" xfId="0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right"/>
    </xf>
    <xf numFmtId="167" fontId="0" fillId="0" borderId="23" xfId="0" applyNumberFormat="1" applyBorder="1" applyAlignment="1" applyProtection="1">
      <alignment horizontal="center"/>
    </xf>
    <xf numFmtId="167" fontId="0" fillId="4" borderId="25" xfId="0" applyNumberFormat="1" applyFill="1" applyBorder="1" applyAlignment="1" applyProtection="1">
      <alignment horizontal="center"/>
    </xf>
    <xf numFmtId="167" fontId="0" fillId="0" borderId="35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8" xfId="0" applyNumberFormat="1" applyFont="1" applyBorder="1" applyAlignment="1" applyProtection="1">
      <alignment horizontal="right"/>
    </xf>
    <xf numFmtId="14" fontId="1" fillId="0" borderId="17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4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4" xfId="0" applyNumberFormat="1" applyFont="1" applyBorder="1" applyAlignment="1" applyProtection="1">
      <alignment horizontal="center"/>
    </xf>
    <xf numFmtId="14" fontId="0" fillId="0" borderId="17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4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6" xfId="0" quotePrefix="1" applyFont="1" applyBorder="1" applyAlignment="1" applyProtection="1">
      <alignment horizontal="center"/>
    </xf>
    <xf numFmtId="164" fontId="4" fillId="0" borderId="22" xfId="0" quotePrefix="1" applyNumberFormat="1" applyFont="1" applyBorder="1" applyAlignment="1" applyProtection="1">
      <alignment horizontal="center" vertical="center" wrapText="1"/>
    </xf>
    <xf numFmtId="0" fontId="4" fillId="0" borderId="23" xfId="0" quotePrefix="1" applyFont="1" applyBorder="1" applyAlignment="1" applyProtection="1">
      <alignment horizontal="center" vertical="center" wrapText="1"/>
    </xf>
    <xf numFmtId="164" fontId="4" fillId="5" borderId="23" xfId="0" quotePrefix="1" applyNumberFormat="1" applyFont="1" applyFill="1" applyBorder="1" applyAlignment="1" applyProtection="1">
      <alignment horizontal="center" vertical="center" wrapText="1"/>
    </xf>
    <xf numFmtId="164" fontId="4" fillId="0" borderId="23" xfId="0" applyNumberFormat="1" applyFont="1" applyBorder="1" applyAlignment="1" applyProtection="1">
      <alignment horizontal="center" vertical="center" wrapText="1"/>
    </xf>
    <xf numFmtId="164" fontId="4" fillId="0" borderId="35" xfId="0" applyNumberFormat="1" applyFont="1" applyBorder="1" applyAlignment="1" applyProtection="1">
      <alignment horizontal="center" vertical="center" wrapText="1"/>
    </xf>
    <xf numFmtId="164" fontId="4" fillId="0" borderId="36" xfId="0" applyNumberFormat="1" applyFont="1" applyBorder="1" applyAlignment="1" applyProtection="1">
      <alignment horizontal="center" vertical="center" wrapText="1"/>
    </xf>
    <xf numFmtId="164" fontId="4" fillId="0" borderId="28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6" borderId="0" xfId="3" applyNumberFormat="1" applyFont="1" applyFill="1" applyBorder="1" applyProtection="1"/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19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4" fontId="7" fillId="2" borderId="8" xfId="3" applyNumberFormat="1" applyFont="1" applyFill="1" applyBorder="1" applyProtection="1"/>
    <xf numFmtId="14" fontId="7" fillId="6" borderId="8" xfId="3" applyNumberFormat="1" applyFont="1" applyFill="1" applyBorder="1" applyProtection="1"/>
    <xf numFmtId="1" fontId="8" fillId="6" borderId="8" xfId="0" applyNumberFormat="1" applyFont="1" applyFill="1" applyBorder="1" applyAlignment="1" applyProtection="1">
      <alignment horizontal="center"/>
    </xf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7" xfId="0" applyNumberFormat="1" applyBorder="1" applyAlignment="1" applyProtection="1">
      <alignment horizontal="center"/>
    </xf>
    <xf numFmtId="14" fontId="1" fillId="0" borderId="37" xfId="0" applyNumberFormat="1" applyFont="1" applyFill="1" applyBorder="1" applyProtection="1"/>
    <xf numFmtId="14" fontId="7" fillId="2" borderId="37" xfId="0" applyNumberFormat="1" applyFont="1" applyFill="1" applyBorder="1" applyAlignment="1" applyProtection="1">
      <alignment horizontal="left"/>
    </xf>
    <xf numFmtId="0" fontId="0" fillId="0" borderId="37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7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" fontId="0" fillId="0" borderId="0" xfId="0" applyNumberFormat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48" xfId="0" applyBorder="1" applyProtection="1"/>
    <xf numFmtId="0" fontId="0" fillId="0" borderId="49" xfId="0" applyBorder="1" applyProtection="1"/>
    <xf numFmtId="0" fontId="0" fillId="0" borderId="0" xfId="0" quotePrefix="1" applyBorder="1" applyAlignment="1" applyProtection="1">
      <alignment horizontal="center"/>
    </xf>
    <xf numFmtId="167" fontId="7" fillId="6" borderId="25" xfId="0" applyNumberFormat="1" applyFont="1" applyFill="1" applyBorder="1" applyAlignment="1" applyProtection="1">
      <alignment horizontal="center"/>
    </xf>
    <xf numFmtId="164" fontId="4" fillId="0" borderId="14" xfId="0" quotePrefix="1" applyNumberFormat="1" applyFont="1" applyFill="1" applyBorder="1" applyAlignment="1" applyProtection="1">
      <alignment horizontal="center" wrapText="1"/>
    </xf>
    <xf numFmtId="164" fontId="5" fillId="0" borderId="0" xfId="0" applyNumberFormat="1" applyFont="1" applyFill="1" applyBorder="1" applyAlignment="1" applyProtection="1">
      <alignment horizontal="center"/>
    </xf>
    <xf numFmtId="164" fontId="4" fillId="0" borderId="23" xfId="0" quotePrefix="1" applyNumberFormat="1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left" vertical="center"/>
    </xf>
    <xf numFmtId="0" fontId="4" fillId="0" borderId="23" xfId="0" quotePrefix="1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166" fontId="14" fillId="0" borderId="43" xfId="0" applyNumberFormat="1" applyFont="1" applyBorder="1" applyProtection="1"/>
    <xf numFmtId="166" fontId="14" fillId="0" borderId="0" xfId="0" applyNumberFormat="1" applyFont="1" applyProtection="1"/>
    <xf numFmtId="166" fontId="14" fillId="0" borderId="44" xfId="0" applyNumberFormat="1" applyFont="1" applyBorder="1" applyProtection="1"/>
    <xf numFmtId="166" fontId="14" fillId="0" borderId="38" xfId="0" applyNumberFormat="1" applyFont="1" applyBorder="1" applyProtection="1"/>
    <xf numFmtId="166" fontId="14" fillId="0" borderId="41" xfId="0" applyNumberFormat="1" applyFont="1" applyBorder="1" applyProtection="1"/>
    <xf numFmtId="166" fontId="14" fillId="0" borderId="42" xfId="0" applyNumberFormat="1" applyFont="1" applyBorder="1" applyProtection="1"/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177040" refreshedDate="44710.801328472226" createdVersion="6" refreshedVersion="7" recordCount="192" xr:uid="{00000000-000A-0000-FFFF-FFFFDE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1-12-02T00:00:00" count="144"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1-02-03T00:00:00" maxDate="2022-01-06T00:00:00"/>
    </cacheField>
    <cacheField name="Payment Received*" numFmtId="14">
      <sharedItems containsSemiMixedTypes="0" containsNonDate="0" containsDate="1" containsString="0" minDate="2021-02-24T00:00:00" maxDate="2022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029"/>
    </cacheField>
    <cacheField name="Projected Rate (as Invoiced)" numFmtId="164">
      <sharedItems containsSemiMixedTypes="0" containsString="0" containsNumber="1" minValue="20.675126363367955" maxValue="20.675126363367955"/>
    </cacheField>
    <cacheField name="Actual True-Up Rate" numFmtId="164">
      <sharedItems containsSemiMixedTypes="0" containsString="0" containsNumber="1" minValue="14.638781214716566" maxValue="14.638781214716566"/>
    </cacheField>
    <cacheField name="True-Up Charge" numFmtId="164">
      <sharedItems containsSemiMixedTypes="0" containsString="0" containsNumber="1" minValue="14.638781214716566" maxValue="58979.649514093042"/>
    </cacheField>
    <cacheField name="Invoiced*** Charge (proj.)" numFmtId="164">
      <sharedItems containsSemiMixedTypes="0" containsString="0" containsNumber="1" minValue="20.675126363367955" maxValue="83300.084118009487"/>
    </cacheField>
    <cacheField name="True-Up w/o Interest" numFmtId="164">
      <sharedItems containsSemiMixedTypes="0" containsString="0" containsNumber="1" minValue="-24320.434603916445" maxValue="-6.0363451486513888"/>
    </cacheField>
    <cacheField name="Interest" numFmtId="164">
      <sharedItems containsSemiMixedTypes="0" containsString="0" containsNumber="1" minValue="-775.24812610087156" maxValue="-0.19241700821565438"/>
    </cacheField>
    <cacheField name="2020 True Up Including Interest" numFmtId="164">
      <sharedItems containsSemiMixedTypes="0" containsString="0" containsNumber="1" minValue="-25095.682730017317" maxValue="-6.2287621568670435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-25095.682730017317" maxValue="-6.22876215686704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1-02-03T00:00:00"/>
    <d v="2021-02-24T00:00:00"/>
    <x v="0"/>
    <n v="9"/>
    <n v="2536"/>
    <n v="20.675126363367955"/>
    <n v="14.638781214716566"/>
    <n v="37123.94916052121"/>
    <n v="52432.120457501136"/>
    <n v="-15308.171296979926"/>
    <n v="-487.96953283489955"/>
    <n v="-15796.140829814825"/>
    <n v="0"/>
    <n v="0"/>
    <n v="0"/>
    <n v="-15796.140829814825"/>
  </r>
  <r>
    <x v="1"/>
    <d v="2021-03-03T00:00:00"/>
    <d v="2021-03-24T00:00:00"/>
    <x v="0"/>
    <n v="9"/>
    <n v="2976"/>
    <n v="20.675126363367955"/>
    <n v="14.638781214716566"/>
    <n v="43565.0128949965"/>
    <n v="61529.176057383032"/>
    <n v="-17964.163162386532"/>
    <n v="-572.63301644978753"/>
    <n v="-18536.796178836321"/>
    <n v="0"/>
    <n v="0"/>
    <n v="0"/>
    <n v="-18536.796178836321"/>
  </r>
  <r>
    <x v="2"/>
    <d v="2021-04-05T00:00:00"/>
    <d v="2021-04-26T00:00:00"/>
    <x v="0"/>
    <n v="9"/>
    <n v="2203"/>
    <n v="20.675126363367955"/>
    <n v="14.638781214716566"/>
    <n v="32249.235016020597"/>
    <n v="45547.303378499608"/>
    <n v="-13298.068362479011"/>
    <n v="-423.89466909908663"/>
    <n v="-13721.963031578098"/>
    <n v="0"/>
    <n v="0"/>
    <n v="0"/>
    <n v="-13721.963031578098"/>
  </r>
  <r>
    <x v="3"/>
    <d v="2021-05-05T00:00:00"/>
    <d v="2021-05-24T00:00:00"/>
    <x v="0"/>
    <n v="9"/>
    <n v="2146"/>
    <n v="20.675126363367955"/>
    <n v="14.638781214716566"/>
    <n v="31414.824486781752"/>
    <n v="44368.821175787634"/>
    <n v="-12953.996689005882"/>
    <n v="-412.92689963079437"/>
    <n v="-13366.923588636677"/>
    <n v="0"/>
    <n v="0"/>
    <n v="0"/>
    <n v="-13366.923588636677"/>
  </r>
  <r>
    <x v="4"/>
    <d v="2021-06-03T00:00:00"/>
    <d v="2021-06-24T00:00:00"/>
    <x v="0"/>
    <n v="9"/>
    <n v="2961"/>
    <n v="20.675126363367955"/>
    <n v="14.638781214716566"/>
    <n v="43345.431176775754"/>
    <n v="61219.049161932511"/>
    <n v="-17873.617985156758"/>
    <n v="-569.7467613265527"/>
    <n v="-18443.364746483312"/>
    <n v="0"/>
    <n v="0"/>
    <n v="0"/>
    <n v="-18443.364746483312"/>
  </r>
  <r>
    <x v="5"/>
    <d v="2021-07-06T00:00:00"/>
    <d v="2021-07-24T00:00:00"/>
    <x v="0"/>
    <n v="9"/>
    <n v="3827"/>
    <n v="20.675126363367955"/>
    <n v="14.638781214716566"/>
    <n v="56022.615708720296"/>
    <n v="79123.708592609168"/>
    <n v="-23101.092883888872"/>
    <n v="-736.37989044130939"/>
    <n v="-23837.472774330181"/>
    <n v="0"/>
    <n v="0"/>
    <n v="0"/>
    <n v="-23837.472774330181"/>
  </r>
  <r>
    <x v="6"/>
    <d v="2021-08-04T00:00:00"/>
    <d v="2021-08-24T00:00:00"/>
    <x v="0"/>
    <n v="9"/>
    <n v="3938"/>
    <n v="20.675126363367955"/>
    <n v="14.638781214716566"/>
    <n v="57647.52042355384"/>
    <n v="81418.64761894301"/>
    <n v="-23771.12719538917"/>
    <n v="-757.73817835324701"/>
    <n v="-24528.865373742417"/>
    <n v="0"/>
    <n v="0"/>
    <n v="0"/>
    <n v="-24528.865373742417"/>
  </r>
  <r>
    <x v="7"/>
    <d v="2021-09-03T00:00:00"/>
    <d v="2021-09-24T00:00:00"/>
    <x v="0"/>
    <n v="9"/>
    <n v="4002"/>
    <n v="20.675126363367955"/>
    <n v="14.638781214716566"/>
    <n v="58584.402421295701"/>
    <n v="82741.855706198563"/>
    <n v="-24157.453284902862"/>
    <n v="-770.05286687904879"/>
    <n v="-24927.506151781912"/>
    <n v="0"/>
    <n v="0"/>
    <n v="0"/>
    <n v="-24927.506151781912"/>
  </r>
  <r>
    <x v="8"/>
    <d v="2021-10-05T00:00:00"/>
    <d v="2021-10-25T00:00:00"/>
    <x v="0"/>
    <n v="9"/>
    <n v="4029"/>
    <n v="20.675126363367955"/>
    <n v="14.638781214716566"/>
    <n v="58979.649514093042"/>
    <n v="83300.084118009487"/>
    <n v="-24320.434603916445"/>
    <n v="-775.24812610087156"/>
    <n v="-25095.682730017317"/>
    <n v="0"/>
    <n v="0"/>
    <n v="0"/>
    <n v="-25095.682730017317"/>
  </r>
  <r>
    <x v="9"/>
    <d v="2021-11-03T00:00:00"/>
    <d v="2021-11-24T00:00:00"/>
    <x v="0"/>
    <n v="9"/>
    <n v="3123"/>
    <n v="20.675126363367955"/>
    <n v="14.638781214716566"/>
    <n v="45716.913733559835"/>
    <n v="64568.419632798126"/>
    <n v="-18851.505899238291"/>
    <n v="-600.91831665748873"/>
    <n v="-19452.424215895779"/>
    <n v="0"/>
    <n v="0"/>
    <n v="0"/>
    <n v="-19452.424215895779"/>
  </r>
  <r>
    <x v="10"/>
    <d v="2021-12-03T00:00:00"/>
    <d v="2021-12-27T00:00:00"/>
    <x v="0"/>
    <n v="9"/>
    <n v="2263"/>
    <n v="20.675126363367955"/>
    <n v="14.638781214716566"/>
    <n v="33127.56188890359"/>
    <n v="46787.810960301686"/>
    <n v="-13660.249071398095"/>
    <n v="-435.4396895920259"/>
    <n v="-14095.68876099012"/>
    <n v="0"/>
    <n v="0"/>
    <n v="0"/>
    <n v="-14095.68876099012"/>
  </r>
  <r>
    <x v="11"/>
    <d v="2022-01-05T00:00:00"/>
    <d v="2022-01-24T00:00:00"/>
    <x v="0"/>
    <n v="9"/>
    <n v="2379"/>
    <n v="20.675126363367955"/>
    <n v="14.638781214716566"/>
    <n v="34825.66050981071"/>
    <n v="49186.125618452366"/>
    <n v="-14360.465108641656"/>
    <n v="-457.76006254504176"/>
    <n v="-14818.225171186697"/>
    <n v="0"/>
    <n v="0"/>
    <n v="0"/>
    <n v="-14818.225171186697"/>
  </r>
  <r>
    <x v="0"/>
    <d v="2021-02-03T00:00:00"/>
    <d v="2021-02-24T00:00:00"/>
    <x v="1"/>
    <n v="9"/>
    <n v="2771"/>
    <n v="20.675126363367955"/>
    <n v="14.638781214716566"/>
    <n v="40564.062745979601"/>
    <n v="57290.775152892602"/>
    <n v="-16726.712406913"/>
    <n v="-533.18752976557835"/>
    <n v="-17259.899936678579"/>
    <n v="0"/>
    <n v="0"/>
    <n v="0"/>
    <n v="-17259.899936678579"/>
  </r>
  <r>
    <x v="1"/>
    <d v="2021-03-03T00:00:00"/>
    <d v="2021-03-24T00:00:00"/>
    <x v="1"/>
    <n v="9"/>
    <n v="3136"/>
    <n v="20.675126363367955"/>
    <n v="14.638781214716566"/>
    <n v="45907.217889351152"/>
    <n v="64837.196275521907"/>
    <n v="-18929.978386170755"/>
    <n v="-603.41973776429222"/>
    <n v="-19533.398123935047"/>
    <n v="0"/>
    <n v="0"/>
    <n v="0"/>
    <n v="-19533.398123935047"/>
  </r>
  <r>
    <x v="2"/>
    <d v="2021-04-05T00:00:00"/>
    <d v="2021-04-26T00:00:00"/>
    <x v="1"/>
    <n v="9"/>
    <n v="2339"/>
    <n v="20.675126363367955"/>
    <n v="14.638781214716566"/>
    <n v="34240.109261222045"/>
    <n v="48359.120563917648"/>
    <n v="-14119.011302695602"/>
    <n v="-450.06338221641562"/>
    <n v="-14569.074684912019"/>
    <n v="0"/>
    <n v="0"/>
    <n v="0"/>
    <n v="-14569.074684912019"/>
  </r>
  <r>
    <x v="3"/>
    <d v="2021-05-05T00:00:00"/>
    <d v="2021-05-24T00:00:00"/>
    <x v="1"/>
    <n v="9"/>
    <n v="2394"/>
    <n v="20.675126363367955"/>
    <n v="14.638781214716566"/>
    <n v="35045.242228031457"/>
    <n v="49496.252513902888"/>
    <n v="-14451.010285871431"/>
    <n v="-460.64631766827659"/>
    <n v="-14911.656603539708"/>
    <n v="0"/>
    <n v="0"/>
    <n v="0"/>
    <n v="-14911.656603539708"/>
  </r>
  <r>
    <x v="4"/>
    <d v="2021-06-03T00:00:00"/>
    <d v="2021-06-24T00:00:00"/>
    <x v="1"/>
    <n v="9"/>
    <n v="2807"/>
    <n v="20.675126363367955"/>
    <n v="14.638781214716566"/>
    <n v="41091.058869709399"/>
    <n v="58035.079701973853"/>
    <n v="-16944.020832264454"/>
    <n v="-540.11454206134181"/>
    <n v="-17484.135374325797"/>
    <n v="0"/>
    <n v="0"/>
    <n v="0"/>
    <n v="-17484.135374325797"/>
  </r>
  <r>
    <x v="5"/>
    <d v="2021-07-06T00:00:00"/>
    <d v="2021-07-24T00:00:00"/>
    <x v="1"/>
    <n v="9"/>
    <n v="3345"/>
    <n v="20.675126363367955"/>
    <n v="14.638781214716566"/>
    <n v="48966.72316322691"/>
    <n v="69158.297685465805"/>
    <n v="-20191.574522238894"/>
    <n v="-643.63489248136398"/>
    <n v="-20835.209414720259"/>
    <n v="0"/>
    <n v="0"/>
    <n v="0"/>
    <n v="-20835.209414720259"/>
  </r>
  <r>
    <x v="6"/>
    <d v="2021-08-04T00:00:00"/>
    <d v="2021-08-24T00:00:00"/>
    <x v="1"/>
    <n v="9"/>
    <n v="3525"/>
    <n v="20.675126363367955"/>
    <n v="14.638781214716566"/>
    <n v="51601.703781875898"/>
    <n v="72879.820430872045"/>
    <n v="-21278.116648996147"/>
    <n v="-678.26995396018174"/>
    <n v="-21956.386602956329"/>
    <n v="0"/>
    <n v="0"/>
    <n v="0"/>
    <n v="-21956.386602956329"/>
  </r>
  <r>
    <x v="7"/>
    <d v="2021-09-03T00:00:00"/>
    <d v="2021-09-24T00:00:00"/>
    <x v="1"/>
    <n v="9"/>
    <n v="3514"/>
    <n v="20.675126363367955"/>
    <n v="14.638781214716566"/>
    <n v="51440.677188514012"/>
    <n v="72652.394040874991"/>
    <n v="-21211.71685236098"/>
    <n v="-676.15336686980947"/>
    <n v="-21887.87021923079"/>
    <n v="0"/>
    <n v="0"/>
    <n v="0"/>
    <n v="-21887.87021923079"/>
  </r>
  <r>
    <x v="8"/>
    <d v="2021-10-05T00:00:00"/>
    <d v="2021-10-25T00:00:00"/>
    <x v="1"/>
    <n v="9"/>
    <n v="3486"/>
    <n v="20.675126363367955"/>
    <n v="14.638781214716566"/>
    <n v="51030.791314501948"/>
    <n v="72073.49050270069"/>
    <n v="-21042.699188198741"/>
    <n v="-670.76569063977126"/>
    <n v="-21713.464878838513"/>
    <n v="0"/>
    <n v="0"/>
    <n v="0"/>
    <n v="-21713.464878838513"/>
  </r>
  <r>
    <x v="9"/>
    <d v="2021-11-03T00:00:00"/>
    <d v="2021-11-24T00:00:00"/>
    <x v="1"/>
    <n v="9"/>
    <n v="2777"/>
    <n v="20.675126363367955"/>
    <n v="14.638781214716566"/>
    <n v="40651.895433267906"/>
    <n v="57414.82591107281"/>
    <n v="-16762.930477804905"/>
    <n v="-534.34203181487226"/>
    <n v="-17297.272509619776"/>
    <n v="0"/>
    <n v="0"/>
    <n v="0"/>
    <n v="-17297.272509619776"/>
  </r>
  <r>
    <x v="10"/>
    <d v="2021-12-03T00:00:00"/>
    <d v="2021-12-27T00:00:00"/>
    <x v="1"/>
    <n v="9"/>
    <n v="2284"/>
    <n v="20.675126363367955"/>
    <n v="14.638781214716566"/>
    <n v="33434.976294412634"/>
    <n v="47221.988613932408"/>
    <n v="-13787.012319519774"/>
    <n v="-439.48044676455464"/>
    <n v="-14226.492766284329"/>
    <n v="0"/>
    <n v="0"/>
    <n v="0"/>
    <n v="-14226.492766284329"/>
  </r>
  <r>
    <x v="11"/>
    <d v="2022-01-05T00:00:00"/>
    <d v="2022-01-24T00:00:00"/>
    <x v="1"/>
    <n v="9"/>
    <n v="2425"/>
    <n v="20.675126363367955"/>
    <n v="14.638781214716566"/>
    <n v="35499.044445687672"/>
    <n v="50137.181431167293"/>
    <n v="-14638.136985479621"/>
    <n v="-466.61124492296193"/>
    <n v="-15104.748230402583"/>
    <n v="0"/>
    <n v="0"/>
    <n v="0"/>
    <n v="-15104.748230402583"/>
  </r>
  <r>
    <x v="0"/>
    <d v="2021-02-03T00:00:00"/>
    <d v="2021-02-24T00:00:00"/>
    <x v="2"/>
    <n v="9"/>
    <n v="146"/>
    <n v="20.675126363367955"/>
    <n v="14.638781214716566"/>
    <n v="2137.2620573486188"/>
    <n v="3018.5684490517215"/>
    <n v="-881.30639170310269"/>
    <n v="-28.092883199485541"/>
    <n v="-909.39927490258822"/>
    <n v="0"/>
    <n v="0"/>
    <n v="0"/>
    <n v="-909.39927490258822"/>
  </r>
  <r>
    <x v="1"/>
    <d v="2021-03-03T00:00:00"/>
    <d v="2021-03-24T00:00:00"/>
    <x v="2"/>
    <n v="9"/>
    <n v="212"/>
    <n v="20.675126363367955"/>
    <n v="14.638781214716566"/>
    <n v="3103.4216175199122"/>
    <n v="4383.1267890340068"/>
    <n v="-1279.7051715140947"/>
    <n v="-40.792405741718731"/>
    <n v="-1320.4975772558134"/>
    <n v="0"/>
    <n v="0"/>
    <n v="0"/>
    <n v="-1320.4975772558134"/>
  </r>
  <r>
    <x v="2"/>
    <d v="2021-04-05T00:00:00"/>
    <d v="2021-04-26T00:00:00"/>
    <x v="2"/>
    <n v="9"/>
    <n v="125"/>
    <n v="20.675126363367955"/>
    <n v="14.638781214716566"/>
    <n v="1829.8476518395707"/>
    <n v="2584.3907954209944"/>
    <n v="-754.54314358142369"/>
    <n v="-24.052126026956799"/>
    <n v="-778.59526960838048"/>
    <n v="0"/>
    <n v="0"/>
    <n v="0"/>
    <n v="-778.59526960838048"/>
  </r>
  <r>
    <x v="3"/>
    <d v="2021-05-05T00:00:00"/>
    <d v="2021-05-24T00:00:00"/>
    <x v="2"/>
    <n v="9"/>
    <n v="92"/>
    <n v="20.675126363367955"/>
    <n v="14.638781214716566"/>
    <n v="1346.7678717539241"/>
    <n v="1902.1116254298518"/>
    <n v="-555.3437536759277"/>
    <n v="-17.702364755840204"/>
    <n v="-573.04611843176792"/>
    <n v="0"/>
    <n v="0"/>
    <n v="0"/>
    <n v="-573.04611843176792"/>
  </r>
  <r>
    <x v="4"/>
    <d v="2021-06-03T00:00:00"/>
    <d v="2021-06-24T00:00:00"/>
    <x v="2"/>
    <n v="9"/>
    <n v="102"/>
    <n v="20.675126363367955"/>
    <n v="14.638781214716566"/>
    <n v="1493.1556839010898"/>
    <n v="2108.8628890635314"/>
    <n v="-615.7072051624416"/>
    <n v="-19.626534837996751"/>
    <n v="-635.3337400004383"/>
    <n v="0"/>
    <n v="0"/>
    <n v="0"/>
    <n v="-635.3337400004383"/>
  </r>
  <r>
    <x v="5"/>
    <d v="2021-07-06T00:00:00"/>
    <d v="2021-07-24T00:00:00"/>
    <x v="2"/>
    <n v="9"/>
    <n v="124"/>
    <n v="20.675126363367955"/>
    <n v="14.638781214716566"/>
    <n v="1815.2088706248542"/>
    <n v="2563.7156690576262"/>
    <n v="-748.50679843277203"/>
    <n v="-23.859709018741142"/>
    <n v="-772.36650745151314"/>
    <n v="0"/>
    <n v="0"/>
    <n v="0"/>
    <n v="-772.36650745151314"/>
  </r>
  <r>
    <x v="6"/>
    <d v="2021-08-04T00:00:00"/>
    <d v="2021-08-24T00:00:00"/>
    <x v="2"/>
    <n v="9"/>
    <n v="138"/>
    <n v="20.675126363367955"/>
    <n v="14.638781214716566"/>
    <n v="2020.1518076308862"/>
    <n v="2853.1674381447779"/>
    <n v="-833.01563051389167"/>
    <n v="-26.553547133760308"/>
    <n v="-859.56917764765194"/>
    <n v="0"/>
    <n v="0"/>
    <n v="0"/>
    <n v="-859.56917764765194"/>
  </r>
  <r>
    <x v="7"/>
    <d v="2021-09-03T00:00:00"/>
    <d v="2021-09-24T00:00:00"/>
    <x v="2"/>
    <n v="9"/>
    <n v="140"/>
    <n v="20.675126363367955"/>
    <n v="14.638781214716566"/>
    <n v="2049.4293700603193"/>
    <n v="2894.5176908715139"/>
    <n v="-845.08832081119454"/>
    <n v="-26.938381150191617"/>
    <n v="-872.02670196138615"/>
    <n v="0"/>
    <n v="0"/>
    <n v="0"/>
    <n v="-872.02670196138615"/>
  </r>
  <r>
    <x v="8"/>
    <d v="2021-10-05T00:00:00"/>
    <d v="2021-10-25T00:00:00"/>
    <x v="2"/>
    <n v="9"/>
    <n v="140"/>
    <n v="20.675126363367955"/>
    <n v="14.638781214716566"/>
    <n v="2049.4293700603193"/>
    <n v="2894.5176908715139"/>
    <n v="-845.08832081119454"/>
    <n v="-26.938381150191617"/>
    <n v="-872.02670196138615"/>
    <n v="0"/>
    <n v="0"/>
    <n v="0"/>
    <n v="-872.02670196138615"/>
  </r>
  <r>
    <x v="9"/>
    <d v="2021-11-03T00:00:00"/>
    <d v="2021-11-24T00:00:00"/>
    <x v="2"/>
    <n v="9"/>
    <n v="106"/>
    <n v="20.675126363367955"/>
    <n v="14.638781214716566"/>
    <n v="1551.7108087599561"/>
    <n v="2191.5633945170034"/>
    <n v="-639.85258575704734"/>
    <n v="-20.396202870859366"/>
    <n v="-660.24878862790672"/>
    <n v="0"/>
    <n v="0"/>
    <n v="0"/>
    <n v="-660.24878862790672"/>
  </r>
  <r>
    <x v="10"/>
    <d v="2021-12-03T00:00:00"/>
    <d v="2021-12-27T00:00:00"/>
    <x v="2"/>
    <n v="9"/>
    <n v="107"/>
    <n v="20.675126363367955"/>
    <n v="14.638781214716566"/>
    <n v="1566.3495899746727"/>
    <n v="2212.2385208803712"/>
    <n v="-645.88893090569854"/>
    <n v="-20.588619879075022"/>
    <n v="-666.4775507847736"/>
    <n v="0"/>
    <n v="0"/>
    <n v="0"/>
    <n v="-666.4775507847736"/>
  </r>
  <r>
    <x v="11"/>
    <d v="2022-01-05T00:00:00"/>
    <d v="2022-01-24T00:00:00"/>
    <x v="2"/>
    <n v="9"/>
    <n v="110"/>
    <n v="20.675126363367955"/>
    <n v="14.638781214716566"/>
    <n v="1610.2659336188224"/>
    <n v="2274.263899970475"/>
    <n v="-663.99796635165262"/>
    <n v="-21.165870903721984"/>
    <n v="-685.16383725537457"/>
    <n v="0"/>
    <n v="0"/>
    <n v="0"/>
    <n v="-685.16383725537457"/>
  </r>
  <r>
    <x v="0"/>
    <d v="2021-02-03T00:00:00"/>
    <d v="2021-02-24T00:00:00"/>
    <x v="3"/>
    <n v="9"/>
    <n v="767"/>
    <n v="20.675126363367955"/>
    <n v="14.638781214716566"/>
    <n v="11227.945191687606"/>
    <n v="15857.821920703222"/>
    <n v="-4629.8767290156156"/>
    <n v="-147.58384530140691"/>
    <n v="-4777.4605743170223"/>
    <n v="0"/>
    <n v="0"/>
    <n v="0"/>
    <n v="-4777.4605743170223"/>
  </r>
  <r>
    <x v="1"/>
    <d v="2021-03-03T00:00:00"/>
    <d v="2021-03-24T00:00:00"/>
    <x v="3"/>
    <n v="9"/>
    <n v="1062"/>
    <n v="20.675126363367955"/>
    <n v="14.638781214716566"/>
    <n v="15546.385650028993"/>
    <n v="21956.984197896767"/>
    <n v="-6410.598547867774"/>
    <n v="-204.34686272502498"/>
    <n v="-6614.9454105927989"/>
    <n v="0"/>
    <n v="0"/>
    <n v="0"/>
    <n v="-6614.9454105927989"/>
  </r>
  <r>
    <x v="2"/>
    <d v="2021-04-05T00:00:00"/>
    <d v="2021-04-26T00:00:00"/>
    <x v="3"/>
    <n v="9"/>
    <n v="599"/>
    <n v="20.675126363367955"/>
    <n v="14.638781214716566"/>
    <n v="8768.6299476152235"/>
    <n v="12384.400691657405"/>
    <n v="-3615.7707440421818"/>
    <n v="-115.25778792117697"/>
    <n v="-3731.028531963359"/>
    <n v="0"/>
    <n v="0"/>
    <n v="0"/>
    <n v="-3731.028531963359"/>
  </r>
  <r>
    <x v="3"/>
    <d v="2021-05-05T00:00:00"/>
    <d v="2021-05-24T00:00:00"/>
    <x v="3"/>
    <n v="9"/>
    <n v="447"/>
    <n v="20.675126363367955"/>
    <n v="14.638781214716566"/>
    <n v="6543.5352029783053"/>
    <n v="9241.7814844254754"/>
    <n v="-2698.2462814471701"/>
    <n v="-86.010402672397504"/>
    <n v="-2784.2566841195676"/>
    <n v="0"/>
    <n v="0"/>
    <n v="0"/>
    <n v="-2784.2566841195676"/>
  </r>
  <r>
    <x v="4"/>
    <d v="2021-06-03T00:00:00"/>
    <d v="2021-06-24T00:00:00"/>
    <x v="3"/>
    <n v="9"/>
    <n v="603"/>
    <n v="20.675126363367955"/>
    <n v="14.638781214716566"/>
    <n v="8827.1850724740889"/>
    <n v="12467.101197110876"/>
    <n v="-3639.9161246367876"/>
    <n v="-116.0274559540396"/>
    <n v="-3755.943580590827"/>
    <n v="0"/>
    <n v="0"/>
    <n v="0"/>
    <n v="-3755.943580590827"/>
  </r>
  <r>
    <x v="5"/>
    <d v="2021-07-06T00:00:00"/>
    <d v="2021-07-24T00:00:00"/>
    <x v="3"/>
    <n v="9"/>
    <n v="840"/>
    <n v="20.675126363367955"/>
    <n v="14.638781214716566"/>
    <n v="12296.576220361916"/>
    <n v="17367.106145229081"/>
    <n v="-5070.5299248671654"/>
    <n v="-161.6302869011497"/>
    <n v="-5232.1602117683151"/>
    <n v="0"/>
    <n v="0"/>
    <n v="0"/>
    <n v="-5232.1602117683151"/>
  </r>
  <r>
    <x v="6"/>
    <d v="2021-08-04T00:00:00"/>
    <d v="2021-08-24T00:00:00"/>
    <x v="3"/>
    <n v="9"/>
    <n v="926"/>
    <n v="20.675126363367955"/>
    <n v="14.638781214716566"/>
    <n v="13555.511404827541"/>
    <n v="19145.167012478727"/>
    <n v="-5589.6556076511861"/>
    <n v="-178.17814960769596"/>
    <n v="-5767.8337572588816"/>
    <n v="0"/>
    <n v="0"/>
    <n v="0"/>
    <n v="-5767.8337572588816"/>
  </r>
  <r>
    <x v="7"/>
    <d v="2021-09-03T00:00:00"/>
    <d v="2021-09-24T00:00:00"/>
    <x v="3"/>
    <n v="9"/>
    <n v="943"/>
    <n v="20.675126363367955"/>
    <n v="14.638781214716566"/>
    <n v="13804.370685477721"/>
    <n v="19496.644160655982"/>
    <n v="-5692.2734751782609"/>
    <n v="-181.4492387473621"/>
    <n v="-5873.7227139256229"/>
    <n v="0"/>
    <n v="0"/>
    <n v="0"/>
    <n v="-5873.7227139256229"/>
  </r>
  <r>
    <x v="8"/>
    <d v="2021-10-05T00:00:00"/>
    <d v="2021-10-25T00:00:00"/>
    <x v="3"/>
    <n v="9"/>
    <n v="913"/>
    <n v="20.675126363367955"/>
    <n v="14.638781214716566"/>
    <n v="13365.207249036224"/>
    <n v="18876.390369754943"/>
    <n v="-5511.1831207187188"/>
    <n v="-175.67672850089247"/>
    <n v="-5686.8598492196115"/>
    <n v="0"/>
    <n v="0"/>
    <n v="0"/>
    <n v="-5686.8598492196115"/>
  </r>
  <r>
    <x v="9"/>
    <d v="2021-11-03T00:00:00"/>
    <d v="2021-11-24T00:00:00"/>
    <x v="3"/>
    <n v="9"/>
    <n v="681"/>
    <n v="20.675126363367955"/>
    <n v="14.638781214716566"/>
    <n v="9969.0100072219811"/>
    <n v="14079.761053453578"/>
    <n v="-4110.7510462315968"/>
    <n v="-131.03598259486066"/>
    <n v="-4241.7870288264576"/>
    <n v="0"/>
    <n v="0"/>
    <n v="0"/>
    <n v="-4241.7870288264576"/>
  </r>
  <r>
    <x v="10"/>
    <d v="2021-12-03T00:00:00"/>
    <d v="2021-12-27T00:00:00"/>
    <x v="3"/>
    <n v="9"/>
    <n v="652"/>
    <n v="20.675126363367955"/>
    <n v="14.638781214716566"/>
    <n v="9544.4853519952012"/>
    <n v="13480.182388915906"/>
    <n v="-3935.6970369207047"/>
    <n v="-125.45588935660666"/>
    <n v="-4061.1529262773115"/>
    <n v="0"/>
    <n v="0"/>
    <n v="0"/>
    <n v="-4061.1529262773115"/>
  </r>
  <r>
    <x v="11"/>
    <d v="2022-01-05T00:00:00"/>
    <d v="2022-01-24T00:00:00"/>
    <x v="3"/>
    <n v="9"/>
    <n v="634"/>
    <n v="20.675126363367955"/>
    <n v="14.638781214716566"/>
    <n v="9280.9872901303024"/>
    <n v="13108.030114375284"/>
    <n v="-3827.0428242449816"/>
    <n v="-121.99238320872489"/>
    <n v="-3949.0352074537063"/>
    <n v="0"/>
    <n v="0"/>
    <n v="0"/>
    <n v="-3949.0352074537063"/>
  </r>
  <r>
    <x v="0"/>
    <d v="2021-02-03T00:00:00"/>
    <d v="2021-02-24T00:00:00"/>
    <x v="4"/>
    <n v="9"/>
    <n v="38"/>
    <n v="20.675126363367955"/>
    <n v="14.638781214716566"/>
    <n v="556.27368615922956"/>
    <n v="785.65480180798227"/>
    <n v="-229.38111564875271"/>
    <n v="-7.3118463121948674"/>
    <n v="-236.69296196094757"/>
    <n v="0"/>
    <n v="0"/>
    <n v="0"/>
    <n v="-236.69296196094757"/>
  </r>
  <r>
    <x v="1"/>
    <d v="2021-03-03T00:00:00"/>
    <d v="2021-03-24T00:00:00"/>
    <x v="4"/>
    <n v="9"/>
    <n v="60"/>
    <n v="20.675126363367955"/>
    <n v="14.638781214716566"/>
    <n v="878.32687288299394"/>
    <n v="1240.5075818020773"/>
    <n v="-362.18070891908337"/>
    <n v="-11.545020492939264"/>
    <n v="-373.72572941202264"/>
    <n v="0"/>
    <n v="0"/>
    <n v="0"/>
    <n v="-373.72572941202264"/>
  </r>
  <r>
    <x v="2"/>
    <d v="2021-04-05T00:00:00"/>
    <d v="2021-04-26T00:00:00"/>
    <x v="4"/>
    <n v="9"/>
    <n v="31"/>
    <n v="20.675126363367955"/>
    <n v="14.638781214716566"/>
    <n v="453.80221765621354"/>
    <n v="640.92891726440655"/>
    <n v="-187.12669960819301"/>
    <n v="-5.9649272546852856"/>
    <n v="-193.09162686287829"/>
    <n v="0"/>
    <n v="0"/>
    <n v="0"/>
    <n v="-193.09162686287829"/>
  </r>
  <r>
    <x v="3"/>
    <d v="2021-05-05T00:00:00"/>
    <d v="2021-05-24T00:00:00"/>
    <x v="4"/>
    <n v="9"/>
    <n v="20"/>
    <n v="20.675126363367955"/>
    <n v="14.638781214716566"/>
    <n v="292.77562429433135"/>
    <n v="413.50252726735908"/>
    <n v="-120.72690297302773"/>
    <n v="-3.8483401643130879"/>
    <n v="-124.57524313734082"/>
    <n v="0"/>
    <n v="0"/>
    <n v="0"/>
    <n v="-124.57524313734082"/>
  </r>
  <r>
    <x v="4"/>
    <d v="2021-06-03T00:00:00"/>
    <d v="2021-06-24T00:00:00"/>
    <x v="4"/>
    <n v="9"/>
    <n v="28"/>
    <n v="20.675126363367955"/>
    <n v="14.638781214716566"/>
    <n v="409.88587401206382"/>
    <n v="578.90353817430275"/>
    <n v="-169.01766416223893"/>
    <n v="-5.3876762300383234"/>
    <n v="-174.40534039227725"/>
    <n v="0"/>
    <n v="0"/>
    <n v="0"/>
    <n v="-174.40534039227725"/>
  </r>
  <r>
    <x v="5"/>
    <d v="2021-07-06T00:00:00"/>
    <d v="2021-07-24T00:00:00"/>
    <x v="4"/>
    <n v="9"/>
    <n v="45"/>
    <n v="20.675126363367955"/>
    <n v="14.638781214716566"/>
    <n v="658.74515466224545"/>
    <n v="930.38068635155798"/>
    <n v="-271.63553168931253"/>
    <n v="-8.6587653697044473"/>
    <n v="-280.29429705901697"/>
    <n v="0"/>
    <n v="0"/>
    <n v="0"/>
    <n v="-280.29429705901697"/>
  </r>
  <r>
    <x v="6"/>
    <d v="2021-08-04T00:00:00"/>
    <d v="2021-08-24T00:00:00"/>
    <x v="4"/>
    <n v="9"/>
    <n v="53"/>
    <n v="20.675126363367955"/>
    <n v="14.638781214716566"/>
    <n v="775.85540437997804"/>
    <n v="1095.7816972585017"/>
    <n v="-319.92629287852367"/>
    <n v="-10.198101435429683"/>
    <n v="-330.12439431395336"/>
    <n v="0"/>
    <n v="0"/>
    <n v="0"/>
    <n v="-330.12439431395336"/>
  </r>
  <r>
    <x v="7"/>
    <d v="2021-09-03T00:00:00"/>
    <d v="2021-09-24T00:00:00"/>
    <x v="4"/>
    <n v="9"/>
    <n v="50"/>
    <n v="20.675126363367955"/>
    <n v="14.638781214716566"/>
    <n v="731.93906073582832"/>
    <n v="1033.7563181683977"/>
    <n v="-301.81725743256936"/>
    <n v="-9.6208504107827206"/>
    <n v="-311.4381078433521"/>
    <n v="0"/>
    <n v="0"/>
    <n v="0"/>
    <n v="-311.4381078433521"/>
  </r>
  <r>
    <x v="8"/>
    <d v="2021-10-05T00:00:00"/>
    <d v="2021-10-25T00:00:00"/>
    <x v="4"/>
    <n v="9"/>
    <n v="49"/>
    <n v="20.675126363367955"/>
    <n v="14.638781214716566"/>
    <n v="717.30027952111175"/>
    <n v="1013.0811918050298"/>
    <n v="-295.78091228391804"/>
    <n v="-9.428433402567066"/>
    <n v="-305.20934568648511"/>
    <n v="0"/>
    <n v="0"/>
    <n v="0"/>
    <n v="-305.20934568648511"/>
  </r>
  <r>
    <x v="9"/>
    <d v="2021-11-03T00:00:00"/>
    <d v="2021-11-24T00:00:00"/>
    <x v="4"/>
    <n v="9"/>
    <n v="38"/>
    <n v="20.675126363367955"/>
    <n v="14.638781214716566"/>
    <n v="556.27368615922956"/>
    <n v="785.65480180798227"/>
    <n v="-229.38111564875271"/>
    <n v="-7.3118463121948674"/>
    <n v="-236.69296196094757"/>
    <n v="0"/>
    <n v="0"/>
    <n v="0"/>
    <n v="-236.69296196094757"/>
  </r>
  <r>
    <x v="10"/>
    <d v="2021-12-03T00:00:00"/>
    <d v="2021-12-27T00:00:00"/>
    <x v="4"/>
    <n v="9"/>
    <n v="32"/>
    <n v="20.675126363367955"/>
    <n v="14.638781214716566"/>
    <n v="468.44099887093012"/>
    <n v="661.60404362777456"/>
    <n v="-193.16304475684444"/>
    <n v="-6.1573442629009403"/>
    <n v="-199.32038901974539"/>
    <n v="0"/>
    <n v="0"/>
    <n v="0"/>
    <n v="-199.32038901974539"/>
  </r>
  <r>
    <x v="11"/>
    <d v="2022-01-05T00:00:00"/>
    <d v="2022-01-24T00:00:00"/>
    <x v="4"/>
    <n v="9"/>
    <n v="31"/>
    <n v="20.675126363367955"/>
    <n v="14.638781214716566"/>
    <n v="453.80221765621354"/>
    <n v="640.92891726440655"/>
    <n v="-187.12669960819301"/>
    <n v="-5.9649272546852856"/>
    <n v="-193.09162686287829"/>
    <n v="0"/>
    <n v="0"/>
    <n v="0"/>
    <n v="-193.09162686287829"/>
  </r>
  <r>
    <x v="0"/>
    <d v="2021-02-03T00:00:00"/>
    <d v="2021-02-24T00:00:00"/>
    <x v="5"/>
    <n v="9"/>
    <n v="43"/>
    <n v="20.675126363367955"/>
    <n v="14.638781214716566"/>
    <n v="629.46759223281231"/>
    <n v="889.03043362482208"/>
    <n v="-259.56284139200977"/>
    <n v="-8.273931353273138"/>
    <n v="-267.83677274528293"/>
    <n v="0"/>
    <n v="0"/>
    <n v="0"/>
    <n v="-267.83677274528293"/>
  </r>
  <r>
    <x v="1"/>
    <d v="2021-03-03T00:00:00"/>
    <d v="2021-03-24T00:00:00"/>
    <x v="5"/>
    <n v="9"/>
    <n v="48"/>
    <n v="20.675126363367955"/>
    <n v="14.638781214716566"/>
    <n v="702.66149830639517"/>
    <n v="992.40606544166189"/>
    <n v="-289.74456713526672"/>
    <n v="-9.2360163943514113"/>
    <n v="-298.98058352961812"/>
    <n v="0"/>
    <n v="0"/>
    <n v="0"/>
    <n v="-298.98058352961812"/>
  </r>
  <r>
    <x v="2"/>
    <d v="2021-04-05T00:00:00"/>
    <d v="2021-04-26T00:00:00"/>
    <x v="5"/>
    <n v="9"/>
    <n v="35"/>
    <n v="20.675126363367955"/>
    <n v="14.638781214716566"/>
    <n v="512.35734251507984"/>
    <n v="723.62942271787847"/>
    <n v="-211.27208020279863"/>
    <n v="-6.7345952875479043"/>
    <n v="-218.00667549034654"/>
    <n v="0"/>
    <n v="0"/>
    <n v="0"/>
    <n v="-218.00667549034654"/>
  </r>
  <r>
    <x v="3"/>
    <d v="2021-05-05T00:00:00"/>
    <d v="2021-05-24T00:00:00"/>
    <x v="5"/>
    <n v="9"/>
    <n v="29"/>
    <n v="20.675126363367955"/>
    <n v="14.638781214716566"/>
    <n v="424.5246552267804"/>
    <n v="599.57866453767065"/>
    <n v="-175.05400931089025"/>
    <n v="-5.5800932382539772"/>
    <n v="-180.63410254914422"/>
    <n v="0"/>
    <n v="0"/>
    <n v="0"/>
    <n v="-180.63410254914422"/>
  </r>
  <r>
    <x v="4"/>
    <d v="2021-06-03T00:00:00"/>
    <d v="2021-06-24T00:00:00"/>
    <x v="5"/>
    <n v="9"/>
    <n v="34"/>
    <n v="20.675126363367955"/>
    <n v="14.638781214716566"/>
    <n v="497.71856130036326"/>
    <n v="702.95429635451046"/>
    <n v="-205.2357350541472"/>
    <n v="-6.5421782793322496"/>
    <n v="-211.77791333347946"/>
    <n v="0"/>
    <n v="0"/>
    <n v="0"/>
    <n v="-211.77791333347946"/>
  </r>
  <r>
    <x v="5"/>
    <d v="2021-07-06T00:00:00"/>
    <d v="2021-07-24T00:00:00"/>
    <x v="5"/>
    <n v="9"/>
    <n v="45"/>
    <n v="20.675126363367955"/>
    <n v="14.638781214716566"/>
    <n v="658.74515466224545"/>
    <n v="930.38068635155798"/>
    <n v="-271.63553168931253"/>
    <n v="-8.6587653697044473"/>
    <n v="-280.29429705901697"/>
    <n v="0"/>
    <n v="0"/>
    <n v="0"/>
    <n v="-280.29429705901697"/>
  </r>
  <r>
    <x v="6"/>
    <d v="2021-08-04T00:00:00"/>
    <d v="2021-08-24T00:00:00"/>
    <x v="5"/>
    <n v="9"/>
    <n v="48"/>
    <n v="20.675126363367955"/>
    <n v="14.638781214716566"/>
    <n v="702.66149830639517"/>
    <n v="992.40606544166189"/>
    <n v="-289.74456713526672"/>
    <n v="-9.2360163943514113"/>
    <n v="-298.98058352961812"/>
    <n v="0"/>
    <n v="0"/>
    <n v="0"/>
    <n v="-298.98058352961812"/>
  </r>
  <r>
    <x v="7"/>
    <d v="2021-09-03T00:00:00"/>
    <d v="2021-09-24T00:00:00"/>
    <x v="5"/>
    <n v="9"/>
    <n v="46"/>
    <n v="20.675126363367955"/>
    <n v="14.638781214716566"/>
    <n v="673.38393587696203"/>
    <n v="951.05581271492588"/>
    <n v="-277.67187683796385"/>
    <n v="-8.851182377920102"/>
    <n v="-286.52305921588396"/>
    <n v="0"/>
    <n v="0"/>
    <n v="0"/>
    <n v="-286.52305921588396"/>
  </r>
  <r>
    <x v="8"/>
    <d v="2021-10-05T00:00:00"/>
    <d v="2021-10-25T00:00:00"/>
    <x v="5"/>
    <n v="9"/>
    <n v="46"/>
    <n v="20.675126363367955"/>
    <n v="14.638781214716566"/>
    <n v="673.38393587696203"/>
    <n v="951.05581271492588"/>
    <n v="-277.67187683796385"/>
    <n v="-8.851182377920102"/>
    <n v="-286.52305921588396"/>
    <n v="0"/>
    <n v="0"/>
    <n v="0"/>
    <n v="-286.52305921588396"/>
  </r>
  <r>
    <x v="9"/>
    <d v="2021-11-03T00:00:00"/>
    <d v="2021-11-24T00:00:00"/>
    <x v="5"/>
    <n v="9"/>
    <n v="41"/>
    <n v="20.675126363367955"/>
    <n v="14.638781214716566"/>
    <n v="600.19002980337916"/>
    <n v="847.68018089808618"/>
    <n v="-247.49015109470702"/>
    <n v="-7.8890973368418296"/>
    <n v="-255.37924843154886"/>
    <n v="0"/>
    <n v="0"/>
    <n v="0"/>
    <n v="-255.37924843154886"/>
  </r>
  <r>
    <x v="10"/>
    <d v="2021-12-03T00:00:00"/>
    <d v="2021-12-27T00:00:00"/>
    <x v="5"/>
    <n v="9"/>
    <n v="40"/>
    <n v="20.675126363367955"/>
    <n v="14.638781214716566"/>
    <n v="585.5512485886627"/>
    <n v="827.00505453471817"/>
    <n v="-241.45380594605547"/>
    <n v="-7.6966803286261758"/>
    <n v="-249.15048627468164"/>
    <n v="0"/>
    <n v="0"/>
    <n v="0"/>
    <n v="-249.15048627468164"/>
  </r>
  <r>
    <x v="11"/>
    <d v="2022-01-05T00:00:00"/>
    <d v="2022-01-24T00:00:00"/>
    <x v="5"/>
    <n v="9"/>
    <n v="39"/>
    <n v="20.675126363367955"/>
    <n v="14.638781214716566"/>
    <n v="570.91246737394613"/>
    <n v="806.32992817135028"/>
    <n v="-235.41746079740415"/>
    <n v="-7.5042633204105211"/>
    <n v="-242.92172411781468"/>
    <n v="0"/>
    <n v="0"/>
    <n v="0"/>
    <n v="-242.92172411781468"/>
  </r>
  <r>
    <x v="0"/>
    <d v="2021-02-03T00:00:00"/>
    <d v="2021-02-24T00:00:00"/>
    <x v="6"/>
    <n v="9"/>
    <n v="76"/>
    <n v="20.675126363367955"/>
    <n v="14.638781214716566"/>
    <n v="1112.5473723184591"/>
    <n v="1571.3096036159645"/>
    <n v="-458.76223129750542"/>
    <n v="-14.623692624389735"/>
    <n v="-473.38592392189514"/>
    <n v="0"/>
    <n v="0"/>
    <n v="0"/>
    <n v="-473.38592392189514"/>
  </r>
  <r>
    <x v="1"/>
    <d v="2021-03-03T00:00:00"/>
    <d v="2021-03-24T00:00:00"/>
    <x v="6"/>
    <n v="9"/>
    <n v="99"/>
    <n v="20.675126363367955"/>
    <n v="14.638781214716566"/>
    <n v="1449.2393402569401"/>
    <n v="2046.8375099734276"/>
    <n v="-597.59816971648752"/>
    <n v="-19.049283813349788"/>
    <n v="-616.64745352983732"/>
    <n v="0"/>
    <n v="0"/>
    <n v="0"/>
    <n v="-616.64745352983732"/>
  </r>
  <r>
    <x v="2"/>
    <d v="2021-04-05T00:00:00"/>
    <d v="2021-04-26T00:00:00"/>
    <x v="6"/>
    <n v="9"/>
    <n v="66"/>
    <n v="20.675126363367955"/>
    <n v="14.638781214716566"/>
    <n v="966.15956017129338"/>
    <n v="1364.5583399822851"/>
    <n v="-398.39877981099175"/>
    <n v="-12.69952254223319"/>
    <n v="-411.09830235322494"/>
    <n v="0"/>
    <n v="0"/>
    <n v="0"/>
    <n v="-411.09830235322494"/>
  </r>
  <r>
    <x v="3"/>
    <d v="2021-05-05T00:00:00"/>
    <d v="2021-05-24T00:00:00"/>
    <x v="6"/>
    <n v="9"/>
    <n v="67"/>
    <n v="20.675126363367955"/>
    <n v="14.638781214716566"/>
    <n v="980.79834138600995"/>
    <n v="1385.2334663456529"/>
    <n v="-404.43512495964296"/>
    <n v="-12.891939550448843"/>
    <n v="-417.32706451009182"/>
    <n v="0"/>
    <n v="0"/>
    <n v="0"/>
    <n v="-417.32706451009182"/>
  </r>
  <r>
    <x v="4"/>
    <d v="2021-06-03T00:00:00"/>
    <d v="2021-06-24T00:00:00"/>
    <x v="6"/>
    <n v="9"/>
    <n v="101"/>
    <n v="20.675126363367955"/>
    <n v="14.638781214716566"/>
    <n v="1478.5169026863732"/>
    <n v="2088.1877627001636"/>
    <n v="-609.67086001379039"/>
    <n v="-19.434117829781094"/>
    <n v="-629.10497784357153"/>
    <n v="0"/>
    <n v="0"/>
    <n v="0"/>
    <n v="-629.10497784357153"/>
  </r>
  <r>
    <x v="5"/>
    <d v="2021-07-06T00:00:00"/>
    <d v="2021-07-24T00:00:00"/>
    <x v="6"/>
    <n v="9"/>
    <n v="141"/>
    <n v="20.675126363367955"/>
    <n v="14.638781214716566"/>
    <n v="2064.0681512750357"/>
    <n v="2915.1928172348817"/>
    <n v="-851.12466595984597"/>
    <n v="-27.13079815840727"/>
    <n v="-878.25546411825326"/>
    <n v="0"/>
    <n v="0"/>
    <n v="0"/>
    <n v="-878.25546411825326"/>
  </r>
  <r>
    <x v="6"/>
    <d v="2021-08-04T00:00:00"/>
    <d v="2021-08-24T00:00:00"/>
    <x v="6"/>
    <n v="9"/>
    <n v="145"/>
    <n v="20.675126363367955"/>
    <n v="14.638781214716566"/>
    <n v="2122.623276133902"/>
    <n v="2997.8933226883537"/>
    <n v="-875.27004655445171"/>
    <n v="-27.900466191269889"/>
    <n v="-903.17051274572157"/>
    <n v="0"/>
    <n v="0"/>
    <n v="0"/>
    <n v="-903.17051274572157"/>
  </r>
  <r>
    <x v="7"/>
    <d v="2021-09-03T00:00:00"/>
    <d v="2021-09-24T00:00:00"/>
    <x v="6"/>
    <n v="9"/>
    <n v="149"/>
    <n v="20.675126363367955"/>
    <n v="14.638781214716566"/>
    <n v="2181.1784009927683"/>
    <n v="3080.5938281418253"/>
    <n v="-899.415427149057"/>
    <n v="-28.670134224132504"/>
    <n v="-928.08556137318953"/>
    <n v="0"/>
    <n v="0"/>
    <n v="0"/>
    <n v="-928.08556137318953"/>
  </r>
  <r>
    <x v="8"/>
    <d v="2021-10-05T00:00:00"/>
    <d v="2021-10-25T00:00:00"/>
    <x v="6"/>
    <n v="9"/>
    <n v="150"/>
    <n v="20.675126363367955"/>
    <n v="14.638781214716566"/>
    <n v="2195.8171822074851"/>
    <n v="3101.2689545051931"/>
    <n v="-905.45177229770798"/>
    <n v="-28.86255123234816"/>
    <n v="-934.31432353005619"/>
    <n v="0"/>
    <n v="0"/>
    <n v="0"/>
    <n v="-934.31432353005619"/>
  </r>
  <r>
    <x v="9"/>
    <d v="2021-11-03T00:00:00"/>
    <d v="2021-11-24T00:00:00"/>
    <x v="6"/>
    <n v="9"/>
    <n v="114"/>
    <n v="20.675126363367955"/>
    <n v="14.638781214716566"/>
    <n v="1668.8210584776884"/>
    <n v="2356.964405423947"/>
    <n v="-688.14334694625859"/>
    <n v="-21.935538936584599"/>
    <n v="-710.07888588284322"/>
    <n v="0"/>
    <n v="0"/>
    <n v="0"/>
    <n v="-710.07888588284322"/>
  </r>
  <r>
    <x v="10"/>
    <d v="2021-12-03T00:00:00"/>
    <d v="2021-12-27T00:00:00"/>
    <x v="6"/>
    <n v="9"/>
    <n v="66"/>
    <n v="20.675126363367955"/>
    <n v="14.638781214716566"/>
    <n v="966.15956017129338"/>
    <n v="1364.5583399822851"/>
    <n v="-398.39877981099175"/>
    <n v="-12.69952254223319"/>
    <n v="-411.09830235322494"/>
    <n v="0"/>
    <n v="0"/>
    <n v="0"/>
    <n v="-411.09830235322494"/>
  </r>
  <r>
    <x v="11"/>
    <d v="2022-01-05T00:00:00"/>
    <d v="2022-01-24T00:00:00"/>
    <x v="6"/>
    <n v="9"/>
    <n v="72"/>
    <n v="20.675126363367955"/>
    <n v="14.638781214716566"/>
    <n v="1053.9922474595928"/>
    <n v="1488.6090981624927"/>
    <n v="-434.61685070289991"/>
    <n v="-13.854024591527116"/>
    <n v="-448.470875294427"/>
    <n v="0"/>
    <n v="0"/>
    <n v="0"/>
    <n v="-448.470875294427"/>
  </r>
  <r>
    <x v="0"/>
    <d v="2021-02-03T00:00:00"/>
    <d v="2021-02-24T00:00:00"/>
    <x v="7"/>
    <n v="9"/>
    <n v="37"/>
    <n v="20.675126363367955"/>
    <n v="14.638781214716566"/>
    <n v="541.63490494451298"/>
    <n v="764.97967544461437"/>
    <n v="-223.34477050010139"/>
    <n v="-7.1194293039792127"/>
    <n v="-230.46419980408061"/>
    <n v="0"/>
    <n v="0"/>
    <n v="0"/>
    <n v="-230.46419980408061"/>
  </r>
  <r>
    <x v="1"/>
    <d v="2021-03-03T00:00:00"/>
    <d v="2021-03-24T00:00:00"/>
    <x v="7"/>
    <n v="9"/>
    <n v="33"/>
    <n v="20.675126363367955"/>
    <n v="14.638781214716566"/>
    <n v="483.07978008564669"/>
    <n v="682.27916999114257"/>
    <n v="-199.19938990549588"/>
    <n v="-6.3497612711165949"/>
    <n v="-205.54915117661247"/>
    <n v="0"/>
    <n v="0"/>
    <n v="0"/>
    <n v="-205.54915117661247"/>
  </r>
  <r>
    <x v="2"/>
    <d v="2021-04-05T00:00:00"/>
    <d v="2021-04-26T00:00:00"/>
    <x v="7"/>
    <n v="9"/>
    <n v="47"/>
    <n v="20.675126363367955"/>
    <n v="14.638781214716566"/>
    <n v="688.0227170916786"/>
    <n v="971.73093907829389"/>
    <n v="-283.70822198661529"/>
    <n v="-9.0435993861357566"/>
    <n v="-292.75182137275107"/>
    <n v="0"/>
    <n v="0"/>
    <n v="0"/>
    <n v="-292.75182137275107"/>
  </r>
  <r>
    <x v="3"/>
    <d v="2021-05-05T00:00:00"/>
    <d v="2021-05-24T00:00:00"/>
    <x v="7"/>
    <n v="9"/>
    <n v="39"/>
    <n v="20.675126363367955"/>
    <n v="14.638781214716566"/>
    <n v="570.91246737394613"/>
    <n v="806.32992817135028"/>
    <n v="-235.41746079740415"/>
    <n v="-7.5042633204105211"/>
    <n v="-242.92172411781468"/>
    <n v="0"/>
    <n v="0"/>
    <n v="0"/>
    <n v="-242.92172411781468"/>
  </r>
  <r>
    <x v="4"/>
    <d v="2021-06-03T00:00:00"/>
    <d v="2021-06-24T00:00:00"/>
    <x v="7"/>
    <n v="9"/>
    <n v="46"/>
    <n v="20.675126363367955"/>
    <n v="14.638781214716566"/>
    <n v="673.38393587696203"/>
    <n v="951.05581271492588"/>
    <n v="-277.67187683796385"/>
    <n v="-8.851182377920102"/>
    <n v="-286.52305921588396"/>
    <n v="0"/>
    <n v="0"/>
    <n v="0"/>
    <n v="-286.52305921588396"/>
  </r>
  <r>
    <x v="5"/>
    <d v="2021-07-06T00:00:00"/>
    <d v="2021-07-24T00:00:00"/>
    <x v="7"/>
    <n v="9"/>
    <n v="51"/>
    <n v="20.675126363367955"/>
    <n v="14.638781214716566"/>
    <n v="746.57784195054489"/>
    <n v="1054.4314445317657"/>
    <n v="-307.8536025812208"/>
    <n v="-9.8132674189983753"/>
    <n v="-317.66687000021915"/>
    <n v="0"/>
    <n v="0"/>
    <n v="0"/>
    <n v="-317.66687000021915"/>
  </r>
  <r>
    <x v="6"/>
    <d v="2021-08-04T00:00:00"/>
    <d v="2021-08-24T00:00:00"/>
    <x v="7"/>
    <n v="9"/>
    <n v="46"/>
    <n v="20.675126363367955"/>
    <n v="14.638781214716566"/>
    <n v="673.38393587696203"/>
    <n v="951.05581271492588"/>
    <n v="-277.67187683796385"/>
    <n v="-8.851182377920102"/>
    <n v="-286.52305921588396"/>
    <n v="0"/>
    <n v="0"/>
    <n v="0"/>
    <n v="-286.52305921588396"/>
  </r>
  <r>
    <x v="7"/>
    <d v="2021-09-03T00:00:00"/>
    <d v="2021-09-24T00:00:00"/>
    <x v="7"/>
    <n v="9"/>
    <n v="50"/>
    <n v="20.675126363367955"/>
    <n v="14.638781214716566"/>
    <n v="731.93906073582832"/>
    <n v="1033.7563181683977"/>
    <n v="-301.81725743256936"/>
    <n v="-9.6208504107827206"/>
    <n v="-311.4381078433521"/>
    <n v="0"/>
    <n v="0"/>
    <n v="0"/>
    <n v="-311.4381078433521"/>
  </r>
  <r>
    <x v="8"/>
    <d v="2021-10-05T00:00:00"/>
    <d v="2021-10-25T00:00:00"/>
    <x v="7"/>
    <n v="9"/>
    <n v="45"/>
    <n v="20.675126363367955"/>
    <n v="14.638781214716566"/>
    <n v="658.74515466224545"/>
    <n v="930.38068635155798"/>
    <n v="-271.63553168931253"/>
    <n v="-8.6587653697044473"/>
    <n v="-280.29429705901697"/>
    <n v="0"/>
    <n v="0"/>
    <n v="0"/>
    <n v="-280.29429705901697"/>
  </r>
  <r>
    <x v="9"/>
    <d v="2021-11-03T00:00:00"/>
    <d v="2021-11-24T00:00:00"/>
    <x v="7"/>
    <n v="9"/>
    <n v="46"/>
    <n v="20.675126363367955"/>
    <n v="14.638781214716566"/>
    <n v="673.38393587696203"/>
    <n v="951.05581271492588"/>
    <n v="-277.67187683796385"/>
    <n v="-8.851182377920102"/>
    <n v="-286.52305921588396"/>
    <n v="0"/>
    <n v="0"/>
    <n v="0"/>
    <n v="-286.52305921588396"/>
  </r>
  <r>
    <x v="10"/>
    <d v="2021-12-03T00:00:00"/>
    <d v="2021-12-27T00:00:00"/>
    <x v="7"/>
    <n v="9"/>
    <n v="48"/>
    <n v="20.675126363367955"/>
    <n v="14.638781214716566"/>
    <n v="702.66149830639517"/>
    <n v="992.40606544166189"/>
    <n v="-289.74456713526672"/>
    <n v="-9.2360163943514113"/>
    <n v="-298.98058352961812"/>
    <n v="0"/>
    <n v="0"/>
    <n v="0"/>
    <n v="-298.98058352961812"/>
  </r>
  <r>
    <x v="11"/>
    <d v="2022-01-05T00:00:00"/>
    <d v="2022-01-24T00:00:00"/>
    <x v="7"/>
    <n v="9"/>
    <n v="42"/>
    <n v="20.675126363367955"/>
    <n v="14.638781214716566"/>
    <n v="614.82881101809573"/>
    <n v="868.35530726145407"/>
    <n v="-253.52649624335834"/>
    <n v="-8.0815143450574833"/>
    <n v="-261.60801058841582"/>
    <n v="0"/>
    <n v="0"/>
    <n v="0"/>
    <n v="-261.60801058841582"/>
  </r>
  <r>
    <x v="0"/>
    <d v="2021-02-03T00:00:00"/>
    <d v="2021-02-24T00:00:00"/>
    <x v="8"/>
    <n v="9"/>
    <n v="973"/>
    <n v="20.675126363367955"/>
    <n v="14.638781214716566"/>
    <n v="14243.53412191922"/>
    <n v="20116.897951557021"/>
    <n v="-5873.3638296378012"/>
    <n v="-187.22174899383171"/>
    <n v="-6060.5855786316333"/>
    <n v="0"/>
    <n v="0"/>
    <n v="0"/>
    <n v="-6060.5855786316333"/>
  </r>
  <r>
    <x v="1"/>
    <d v="2021-03-03T00:00:00"/>
    <d v="2021-03-24T00:00:00"/>
    <x v="8"/>
    <n v="9"/>
    <n v="1338"/>
    <n v="20.675126363367955"/>
    <n v="14.638781214716566"/>
    <n v="19586.689265290766"/>
    <n v="27663.319074186325"/>
    <n v="-8076.6298088955591"/>
    <n v="-257.45395699254556"/>
    <n v="-8334.0837658881046"/>
    <n v="0"/>
    <n v="0"/>
    <n v="0"/>
    <n v="-8334.0837658881046"/>
  </r>
  <r>
    <x v="2"/>
    <d v="2021-04-05T00:00:00"/>
    <d v="2021-04-26T00:00:00"/>
    <x v="8"/>
    <n v="9"/>
    <n v="790"/>
    <n v="20.675126363367955"/>
    <n v="14.638781214716566"/>
    <n v="11564.637159626087"/>
    <n v="16333.349827060685"/>
    <n v="-4768.7126674345982"/>
    <n v="-152.00943649036697"/>
    <n v="-4920.7221039249653"/>
    <n v="0"/>
    <n v="0"/>
    <n v="0"/>
    <n v="-4920.7221039249653"/>
  </r>
  <r>
    <x v="3"/>
    <d v="2021-05-05T00:00:00"/>
    <d v="2021-05-24T00:00:00"/>
    <x v="8"/>
    <n v="9"/>
    <n v="565"/>
    <n v="20.675126363367955"/>
    <n v="14.638781214716566"/>
    <n v="8270.9113863148596"/>
    <n v="11681.446395302895"/>
    <n v="-3410.5350089880358"/>
    <n v="-108.71560964184474"/>
    <n v="-3519.2506186298806"/>
    <n v="0"/>
    <n v="0"/>
    <n v="0"/>
    <n v="-3519.2506186298806"/>
  </r>
  <r>
    <x v="4"/>
    <d v="2021-06-03T00:00:00"/>
    <d v="2021-06-24T00:00:00"/>
    <x v="8"/>
    <n v="9"/>
    <n v="636"/>
    <n v="20.675126363367955"/>
    <n v="14.638781214716566"/>
    <n v="9310.264852559736"/>
    <n v="13149.38036710202"/>
    <n v="-3839.1155145422836"/>
    <n v="-122.37721722515619"/>
    <n v="-3961.4927317674396"/>
    <n v="0"/>
    <n v="0"/>
    <n v="0"/>
    <n v="-3961.4927317674396"/>
  </r>
  <r>
    <x v="5"/>
    <d v="2021-07-06T00:00:00"/>
    <d v="2021-07-24T00:00:00"/>
    <x v="8"/>
    <n v="9"/>
    <n v="845"/>
    <n v="20.675126363367955"/>
    <n v="14.638781214716566"/>
    <n v="12369.770126435498"/>
    <n v="17470.481777045923"/>
    <n v="-5100.7116506104248"/>
    <n v="-162.59237194222797"/>
    <n v="-5263.3040225526529"/>
    <n v="0"/>
    <n v="0"/>
    <n v="0"/>
    <n v="-5263.3040225526529"/>
  </r>
  <r>
    <x v="6"/>
    <d v="2021-08-04T00:00:00"/>
    <d v="2021-08-24T00:00:00"/>
    <x v="8"/>
    <n v="9"/>
    <n v="897"/>
    <n v="20.675126363367955"/>
    <n v="14.638781214716566"/>
    <n v="13130.986749600759"/>
    <n v="18545.588347941055"/>
    <n v="-5414.6015983402958"/>
    <n v="-172.59805636944199"/>
    <n v="-5587.1996547097378"/>
    <n v="0"/>
    <n v="0"/>
    <n v="0"/>
    <n v="-5587.1996547097378"/>
  </r>
  <r>
    <x v="7"/>
    <d v="2021-09-03T00:00:00"/>
    <d v="2021-09-24T00:00:00"/>
    <x v="8"/>
    <n v="9"/>
    <n v="899"/>
    <n v="20.675126363367955"/>
    <n v="14.638781214716566"/>
    <n v="13160.264312030193"/>
    <n v="18586.938600667792"/>
    <n v="-5426.6742886375996"/>
    <n v="-172.9828903858733"/>
    <n v="-5599.657179023473"/>
    <n v="0"/>
    <n v="0"/>
    <n v="0"/>
    <n v="-5599.657179023473"/>
  </r>
  <r>
    <x v="8"/>
    <d v="2021-10-05T00:00:00"/>
    <d v="2021-10-25T00:00:00"/>
    <x v="8"/>
    <n v="9"/>
    <n v="904"/>
    <n v="20.675126363367955"/>
    <n v="14.638781214716566"/>
    <n v="13233.458218103775"/>
    <n v="18690.31423248463"/>
    <n v="-5456.8560143808554"/>
    <n v="-173.94497542695157"/>
    <n v="-5630.8009898078071"/>
    <n v="0"/>
    <n v="0"/>
    <n v="0"/>
    <n v="-5630.8009898078071"/>
  </r>
  <r>
    <x v="9"/>
    <d v="2021-11-03T00:00:00"/>
    <d v="2021-11-24T00:00:00"/>
    <x v="8"/>
    <n v="9"/>
    <n v="685"/>
    <n v="20.675126363367955"/>
    <n v="14.638781214716566"/>
    <n v="10027.565132080848"/>
    <n v="14162.461558907049"/>
    <n v="-4134.8964268262007"/>
    <n v="-131.80565062772325"/>
    <n v="-4266.7020774539242"/>
    <n v="0"/>
    <n v="0"/>
    <n v="0"/>
    <n v="-4266.7020774539242"/>
  </r>
  <r>
    <x v="10"/>
    <d v="2021-12-03T00:00:00"/>
    <d v="2021-12-27T00:00:00"/>
    <x v="8"/>
    <n v="9"/>
    <n v="718"/>
    <n v="20.675126363367955"/>
    <n v="14.638781214716566"/>
    <n v="10510.644912166494"/>
    <n v="14844.740728898192"/>
    <n v="-4334.0958167316985"/>
    <n v="-138.15541189883987"/>
    <n v="-4472.2512286305382"/>
    <n v="0"/>
    <n v="0"/>
    <n v="0"/>
    <n v="-4472.2512286305382"/>
  </r>
  <r>
    <x v="11"/>
    <d v="2022-01-05T00:00:00"/>
    <d v="2022-01-24T00:00:00"/>
    <x v="8"/>
    <n v="9"/>
    <n v="770"/>
    <n v="20.675126363367955"/>
    <n v="14.638781214716566"/>
    <n v="11271.861535331756"/>
    <n v="15919.847299793326"/>
    <n v="-4647.9857644615695"/>
    <n v="-148.16109632605389"/>
    <n v="-4796.1468607876232"/>
    <n v="0"/>
    <n v="0"/>
    <n v="0"/>
    <n v="-4796.1468607876232"/>
  </r>
  <r>
    <x v="0"/>
    <d v="2021-02-03T00:00:00"/>
    <d v="2021-02-24T00:00:00"/>
    <x v="9"/>
    <n v="9"/>
    <n v="7"/>
    <n v="20.675126363367955"/>
    <n v="14.638781214716566"/>
    <n v="102.47146850301596"/>
    <n v="144.72588454357569"/>
    <n v="-42.254416040559732"/>
    <n v="-1.3469190575095809"/>
    <n v="-43.601335098069313"/>
    <n v="0"/>
    <n v="0"/>
    <n v="0"/>
    <n v="-43.601335098069313"/>
  </r>
  <r>
    <x v="1"/>
    <d v="2021-03-03T00:00:00"/>
    <d v="2021-03-24T00:00:00"/>
    <x v="9"/>
    <n v="9"/>
    <n v="8"/>
    <n v="20.675126363367955"/>
    <n v="14.638781214716566"/>
    <n v="117.11024971773253"/>
    <n v="165.40101090694364"/>
    <n v="-48.290761189211111"/>
    <n v="-1.5393360657252351"/>
    <n v="-49.830097254936348"/>
    <n v="0"/>
    <n v="0"/>
    <n v="0"/>
    <n v="-49.830097254936348"/>
  </r>
  <r>
    <x v="2"/>
    <d v="2021-04-05T00:00:00"/>
    <d v="2021-04-26T00:00:00"/>
    <x v="9"/>
    <n v="9"/>
    <n v="5"/>
    <n v="20.675126363367955"/>
    <n v="14.638781214716566"/>
    <n v="73.193906073582838"/>
    <n v="103.37563181683977"/>
    <n v="-30.181725743256933"/>
    <n v="-0.96208504107827197"/>
    <n v="-31.143810784335205"/>
    <n v="0"/>
    <n v="0"/>
    <n v="0"/>
    <n v="-31.143810784335205"/>
  </r>
  <r>
    <x v="3"/>
    <d v="2021-05-05T00:00:00"/>
    <d v="2021-05-24T00:00:00"/>
    <x v="9"/>
    <n v="9"/>
    <n v="6"/>
    <n v="20.675126363367955"/>
    <n v="14.638781214716566"/>
    <n v="87.832687288299397"/>
    <n v="124.05075818020774"/>
    <n v="-36.21807089190834"/>
    <n v="-1.1545020492939264"/>
    <n v="-37.372572941202264"/>
    <n v="0"/>
    <n v="0"/>
    <n v="0"/>
    <n v="-37.372572941202264"/>
  </r>
  <r>
    <x v="4"/>
    <d v="2021-06-03T00:00:00"/>
    <d v="2021-06-24T00:00:00"/>
    <x v="9"/>
    <n v="9"/>
    <n v="4"/>
    <n v="20.675126363367955"/>
    <n v="14.638781214716566"/>
    <n v="58.555124858866265"/>
    <n v="82.70050545347182"/>
    <n v="-24.145380594605555"/>
    <n v="-0.76966803286261753"/>
    <n v="-24.915048627468174"/>
    <n v="0"/>
    <n v="0"/>
    <n v="0"/>
    <n v="-24.915048627468174"/>
  </r>
  <r>
    <x v="5"/>
    <d v="2021-07-06T00:00:00"/>
    <d v="2021-07-24T00:00:00"/>
    <x v="9"/>
    <n v="9"/>
    <n v="13"/>
    <n v="20.675126363367955"/>
    <n v="14.638781214716566"/>
    <n v="190.30415579131537"/>
    <n v="268.77664272378343"/>
    <n v="-78.472486932468058"/>
    <n v="-2.5014211068035075"/>
    <n v="-80.973908039271564"/>
    <n v="0"/>
    <n v="0"/>
    <n v="0"/>
    <n v="-80.973908039271564"/>
  </r>
  <r>
    <x v="6"/>
    <d v="2021-08-04T00:00:00"/>
    <d v="2021-08-24T00:00:00"/>
    <x v="9"/>
    <n v="9"/>
    <n v="17"/>
    <n v="20.675126363367955"/>
    <n v="14.638781214716566"/>
    <n v="248.85928065018163"/>
    <n v="351.47714817725523"/>
    <n v="-102.6178675270736"/>
    <n v="-3.2710891396661248"/>
    <n v="-105.88895666673973"/>
    <n v="0"/>
    <n v="0"/>
    <n v="0"/>
    <n v="-105.88895666673973"/>
  </r>
  <r>
    <x v="7"/>
    <d v="2021-09-03T00:00:00"/>
    <d v="2021-09-24T00:00:00"/>
    <x v="9"/>
    <n v="9"/>
    <n v="17"/>
    <n v="20.675126363367955"/>
    <n v="14.638781214716566"/>
    <n v="248.85928065018163"/>
    <n v="351.47714817725523"/>
    <n v="-102.6178675270736"/>
    <n v="-3.2710891396661248"/>
    <n v="-105.88895666673973"/>
    <n v="0"/>
    <n v="0"/>
    <n v="0"/>
    <n v="-105.88895666673973"/>
  </r>
  <r>
    <x v="8"/>
    <d v="2021-10-05T00:00:00"/>
    <d v="2021-10-25T00:00:00"/>
    <x v="9"/>
    <n v="9"/>
    <n v="16"/>
    <n v="20.675126363367955"/>
    <n v="14.638781214716566"/>
    <n v="234.22049943546506"/>
    <n v="330.80202181388728"/>
    <n v="-96.581522378422221"/>
    <n v="-3.0786721314504701"/>
    <n v="-99.660194509872696"/>
    <n v="0"/>
    <n v="0"/>
    <n v="0"/>
    <n v="-99.660194509872696"/>
  </r>
  <r>
    <x v="9"/>
    <d v="2021-11-03T00:00:00"/>
    <d v="2021-11-24T00:00:00"/>
    <x v="9"/>
    <n v="9"/>
    <n v="5"/>
    <n v="20.675126363367955"/>
    <n v="14.638781214716566"/>
    <n v="73.193906073582838"/>
    <n v="103.37563181683977"/>
    <n v="-30.181725743256933"/>
    <n v="-0.96208504107827197"/>
    <n v="-31.143810784335205"/>
    <n v="0"/>
    <n v="0"/>
    <n v="0"/>
    <n v="-31.143810784335205"/>
  </r>
  <r>
    <x v="10"/>
    <d v="2021-12-03T00:00:00"/>
    <d v="2021-12-27T00:00:00"/>
    <x v="9"/>
    <n v="9"/>
    <n v="5"/>
    <n v="20.675126363367955"/>
    <n v="14.638781214716566"/>
    <n v="73.193906073582838"/>
    <n v="103.37563181683977"/>
    <n v="-30.181725743256933"/>
    <n v="-0.96208504107827197"/>
    <n v="-31.143810784335205"/>
    <n v="0"/>
    <n v="0"/>
    <n v="0"/>
    <n v="-31.143810784335205"/>
  </r>
  <r>
    <x v="11"/>
    <d v="2022-01-05T00:00:00"/>
    <d v="2022-01-24T00:00:00"/>
    <x v="9"/>
    <n v="9"/>
    <n v="6"/>
    <n v="20.675126363367955"/>
    <n v="14.638781214716566"/>
    <n v="87.832687288299397"/>
    <n v="124.05075818020774"/>
    <n v="-36.21807089190834"/>
    <n v="-1.1545020492939264"/>
    <n v="-37.372572941202264"/>
    <n v="0"/>
    <n v="0"/>
    <n v="0"/>
    <n v="-37.372572941202264"/>
  </r>
  <r>
    <x v="0"/>
    <d v="2021-02-03T00:00:00"/>
    <d v="2021-02-24T00:00:00"/>
    <x v="10"/>
    <n v="9"/>
    <n v="3"/>
    <n v="20.675126363367955"/>
    <n v="14.638781214716566"/>
    <n v="43.916343644149698"/>
    <n v="62.025379090103868"/>
    <n v="-18.10903544595417"/>
    <n v="-0.57725102464696321"/>
    <n v="-18.686286470601132"/>
    <n v="0"/>
    <n v="0"/>
    <n v="0"/>
    <n v="-18.686286470601132"/>
  </r>
  <r>
    <x v="1"/>
    <d v="2021-03-03T00:00:00"/>
    <d v="2021-03-24T00:00:00"/>
    <x v="10"/>
    <n v="9"/>
    <n v="5"/>
    <n v="20.675126363367955"/>
    <n v="14.638781214716566"/>
    <n v="73.193906073582838"/>
    <n v="103.37563181683977"/>
    <n v="-30.181725743256933"/>
    <n v="-0.96208504107827197"/>
    <n v="-31.143810784335205"/>
    <n v="0"/>
    <n v="0"/>
    <n v="0"/>
    <n v="-31.143810784335205"/>
  </r>
  <r>
    <x v="2"/>
    <d v="2021-04-05T00:00:00"/>
    <d v="2021-04-26T00:00:00"/>
    <x v="10"/>
    <n v="9"/>
    <n v="4"/>
    <n v="20.675126363367955"/>
    <n v="14.638781214716566"/>
    <n v="58.555124858866265"/>
    <n v="82.70050545347182"/>
    <n v="-24.145380594605555"/>
    <n v="-0.76966803286261753"/>
    <n v="-24.915048627468174"/>
    <n v="0"/>
    <n v="0"/>
    <n v="0"/>
    <n v="-24.915048627468174"/>
  </r>
  <r>
    <x v="3"/>
    <d v="2021-05-05T00:00:00"/>
    <d v="2021-05-24T00:00:00"/>
    <x v="10"/>
    <n v="9"/>
    <n v="4"/>
    <n v="20.675126363367955"/>
    <n v="14.638781214716566"/>
    <n v="58.555124858866265"/>
    <n v="82.70050545347182"/>
    <n v="-24.145380594605555"/>
    <n v="-0.76966803286261753"/>
    <n v="-24.915048627468174"/>
    <n v="0"/>
    <n v="0"/>
    <n v="0"/>
    <n v="-24.915048627468174"/>
  </r>
  <r>
    <x v="4"/>
    <d v="2021-06-03T00:00:00"/>
    <d v="2021-06-24T00:00:00"/>
    <x v="10"/>
    <n v="9"/>
    <n v="3"/>
    <n v="20.675126363367955"/>
    <n v="14.638781214716566"/>
    <n v="43.916343644149698"/>
    <n v="62.025379090103868"/>
    <n v="-18.10903544595417"/>
    <n v="-0.57725102464696321"/>
    <n v="-18.686286470601132"/>
    <n v="0"/>
    <n v="0"/>
    <n v="0"/>
    <n v="-18.686286470601132"/>
  </r>
  <r>
    <x v="5"/>
    <d v="2021-07-06T00:00:00"/>
    <d v="2021-07-24T00:00:00"/>
    <x v="10"/>
    <n v="9"/>
    <n v="5"/>
    <n v="20.675126363367955"/>
    <n v="14.638781214716566"/>
    <n v="73.193906073582838"/>
    <n v="103.37563181683977"/>
    <n v="-30.181725743256933"/>
    <n v="-0.96208504107827197"/>
    <n v="-31.143810784335205"/>
    <n v="0"/>
    <n v="0"/>
    <n v="0"/>
    <n v="-31.143810784335205"/>
  </r>
  <r>
    <x v="6"/>
    <d v="2021-08-04T00:00:00"/>
    <d v="2021-08-24T00:00:00"/>
    <x v="10"/>
    <n v="9"/>
    <n v="5"/>
    <n v="20.675126363367955"/>
    <n v="14.638781214716566"/>
    <n v="73.193906073582838"/>
    <n v="103.37563181683977"/>
    <n v="-30.181725743256933"/>
    <n v="-0.96208504107827197"/>
    <n v="-31.143810784335205"/>
    <n v="0"/>
    <n v="0"/>
    <n v="0"/>
    <n v="-31.143810784335205"/>
  </r>
  <r>
    <x v="7"/>
    <d v="2021-09-03T00:00:00"/>
    <d v="2021-09-24T00:00:00"/>
    <x v="10"/>
    <n v="9"/>
    <n v="4"/>
    <n v="20.675126363367955"/>
    <n v="14.638781214716566"/>
    <n v="58.555124858866265"/>
    <n v="82.70050545347182"/>
    <n v="-24.145380594605555"/>
    <n v="-0.76966803286261753"/>
    <n v="-24.915048627468174"/>
    <n v="0"/>
    <n v="0"/>
    <n v="0"/>
    <n v="-24.915048627468174"/>
  </r>
  <r>
    <x v="8"/>
    <d v="2021-10-05T00:00:00"/>
    <d v="2021-10-25T00:00:00"/>
    <x v="10"/>
    <n v="9"/>
    <n v="4"/>
    <n v="20.675126363367955"/>
    <n v="14.638781214716566"/>
    <n v="58.555124858866265"/>
    <n v="82.70050545347182"/>
    <n v="-24.145380594605555"/>
    <n v="-0.76966803286261753"/>
    <n v="-24.915048627468174"/>
    <n v="0"/>
    <n v="0"/>
    <n v="0"/>
    <n v="-24.915048627468174"/>
  </r>
  <r>
    <x v="9"/>
    <d v="2021-11-03T00:00:00"/>
    <d v="2021-11-24T00:00:00"/>
    <x v="10"/>
    <n v="9"/>
    <n v="4"/>
    <n v="20.675126363367955"/>
    <n v="14.638781214716566"/>
    <n v="58.555124858866265"/>
    <n v="82.70050545347182"/>
    <n v="-24.145380594605555"/>
    <n v="-0.76966803286261753"/>
    <n v="-24.915048627468174"/>
    <n v="0"/>
    <n v="0"/>
    <n v="0"/>
    <n v="-24.915048627468174"/>
  </r>
  <r>
    <x v="10"/>
    <d v="2021-12-03T00:00:00"/>
    <d v="2021-12-27T00:00:00"/>
    <x v="10"/>
    <n v="9"/>
    <n v="4"/>
    <n v="20.675126363367955"/>
    <n v="14.638781214716566"/>
    <n v="58.555124858866265"/>
    <n v="82.70050545347182"/>
    <n v="-24.145380594605555"/>
    <n v="-0.76966803286261753"/>
    <n v="-24.915048627468174"/>
    <n v="0"/>
    <n v="0"/>
    <n v="0"/>
    <n v="-24.915048627468174"/>
  </r>
  <r>
    <x v="11"/>
    <d v="2022-01-05T00:00:00"/>
    <d v="2022-01-24T00:00:00"/>
    <x v="10"/>
    <n v="9"/>
    <n v="1"/>
    <n v="20.675126363367955"/>
    <n v="14.638781214716566"/>
    <n v="14.638781214716566"/>
    <n v="20.675126363367955"/>
    <n v="-6.0363451486513888"/>
    <n v="-0.19241700821565438"/>
    <n v="-6.2287621568670435"/>
    <n v="0"/>
    <n v="0"/>
    <n v="0"/>
    <n v="-6.2287621568670435"/>
  </r>
  <r>
    <x v="0"/>
    <d v="2021-02-03T00:00:00"/>
    <d v="2021-02-24T00:00:00"/>
    <x v="11"/>
    <n v="9"/>
    <n v="104"/>
    <n v="20.675126363367955"/>
    <n v="14.638781214716566"/>
    <n v="1522.4332463305229"/>
    <n v="2150.2131417902674"/>
    <n v="-627.77989545974447"/>
    <n v="-20.01136885442806"/>
    <n v="-647.79126431417251"/>
    <n v="0"/>
    <n v="0"/>
    <n v="0"/>
    <n v="-647.79126431417251"/>
  </r>
  <r>
    <x v="1"/>
    <d v="2021-03-03T00:00:00"/>
    <d v="2021-03-24T00:00:00"/>
    <x v="11"/>
    <n v="9"/>
    <n v="133"/>
    <n v="20.675126363367955"/>
    <n v="14.638781214716566"/>
    <n v="1946.9579015573033"/>
    <n v="2749.791806327938"/>
    <n v="-802.83390477063472"/>
    <n v="-25.591462092682033"/>
    <n v="-828.42536686331675"/>
    <n v="0"/>
    <n v="0"/>
    <n v="0"/>
    <n v="-828.42536686331675"/>
  </r>
  <r>
    <x v="2"/>
    <d v="2021-04-05T00:00:00"/>
    <d v="2021-04-26T00:00:00"/>
    <x v="11"/>
    <n v="9"/>
    <n v="87"/>
    <n v="20.675126363367955"/>
    <n v="14.638781214716566"/>
    <n v="1273.5739656803412"/>
    <n v="1798.7359936130122"/>
    <n v="-525.16202793267098"/>
    <n v="-16.740279714761932"/>
    <n v="-541.90230764743296"/>
    <n v="0"/>
    <n v="0"/>
    <n v="0"/>
    <n v="-541.90230764743296"/>
  </r>
  <r>
    <x v="3"/>
    <d v="2021-05-05T00:00:00"/>
    <d v="2021-05-24T00:00:00"/>
    <x v="11"/>
    <n v="9"/>
    <n v="77"/>
    <n v="20.675126363367955"/>
    <n v="14.638781214716566"/>
    <n v="1127.1861535331757"/>
    <n v="1591.9847299793325"/>
    <n v="-464.79857644615686"/>
    <n v="-14.816109632605388"/>
    <n v="-479.61468607876225"/>
    <n v="0"/>
    <n v="0"/>
    <n v="0"/>
    <n v="-479.61468607876225"/>
  </r>
  <r>
    <x v="4"/>
    <d v="2021-06-03T00:00:00"/>
    <d v="2021-06-24T00:00:00"/>
    <x v="11"/>
    <n v="9"/>
    <n v="104"/>
    <n v="20.675126363367955"/>
    <n v="14.638781214716566"/>
    <n v="1522.4332463305229"/>
    <n v="2150.2131417902674"/>
    <n v="-627.77989545974447"/>
    <n v="-20.01136885442806"/>
    <n v="-647.79126431417251"/>
    <n v="0"/>
    <n v="0"/>
    <n v="0"/>
    <n v="-647.79126431417251"/>
  </r>
  <r>
    <x v="5"/>
    <d v="2021-07-06T00:00:00"/>
    <d v="2021-07-24T00:00:00"/>
    <x v="11"/>
    <n v="9"/>
    <n v="144"/>
    <n v="20.675126363367955"/>
    <n v="14.638781214716566"/>
    <n v="2107.9844949191856"/>
    <n v="2977.2181963249855"/>
    <n v="-869.23370140579982"/>
    <n v="-27.708049183054232"/>
    <n v="-896.94175058885401"/>
    <n v="0"/>
    <n v="0"/>
    <n v="0"/>
    <n v="-896.94175058885401"/>
  </r>
  <r>
    <x v="6"/>
    <d v="2021-08-04T00:00:00"/>
    <d v="2021-08-24T00:00:00"/>
    <x v="11"/>
    <n v="9"/>
    <n v="161"/>
    <n v="20.675126363367955"/>
    <n v="14.638781214716566"/>
    <n v="2356.8437755693672"/>
    <n v="3328.6953445022409"/>
    <n v="-971.85156893287376"/>
    <n v="-30.979138322720356"/>
    <n v="-1002.8307072555941"/>
    <n v="0"/>
    <n v="0"/>
    <n v="0"/>
    <n v="-1002.8307072555941"/>
  </r>
  <r>
    <x v="7"/>
    <d v="2021-09-03T00:00:00"/>
    <d v="2021-09-24T00:00:00"/>
    <x v="11"/>
    <n v="9"/>
    <n v="163"/>
    <n v="20.675126363367955"/>
    <n v="14.638781214716566"/>
    <n v="2386.1213379988003"/>
    <n v="3370.0455972289765"/>
    <n v="-983.92425923017618"/>
    <n v="-31.363972339151665"/>
    <n v="-1015.2882315693279"/>
    <n v="0"/>
    <n v="0"/>
    <n v="0"/>
    <n v="-1015.2882315693279"/>
  </r>
  <r>
    <x v="8"/>
    <d v="2021-10-05T00:00:00"/>
    <d v="2021-10-25T00:00:00"/>
    <x v="11"/>
    <n v="9"/>
    <n v="153"/>
    <n v="20.675126363367955"/>
    <n v="14.638781214716566"/>
    <n v="2239.7335258516346"/>
    <n v="3163.2943335952973"/>
    <n v="-923.56080774366274"/>
    <n v="-29.439802256995122"/>
    <n v="-953.00061000065784"/>
    <n v="0"/>
    <n v="0"/>
    <n v="0"/>
    <n v="-953.00061000065784"/>
  </r>
  <r>
    <x v="9"/>
    <d v="2021-11-03T00:00:00"/>
    <d v="2021-11-24T00:00:00"/>
    <x v="11"/>
    <n v="9"/>
    <n v="117"/>
    <n v="20.675126363367955"/>
    <n v="14.638781214716566"/>
    <n v="1712.7374021218382"/>
    <n v="2418.9897845140508"/>
    <n v="-706.25238239221267"/>
    <n v="-22.512789961231565"/>
    <n v="-728.7651723534442"/>
    <n v="0"/>
    <n v="0"/>
    <n v="0"/>
    <n v="-728.7651723534442"/>
  </r>
  <r>
    <x v="10"/>
    <d v="2021-12-03T00:00:00"/>
    <d v="2021-12-27T00:00:00"/>
    <x v="11"/>
    <n v="9"/>
    <n v="91"/>
    <n v="20.675126363367955"/>
    <n v="14.638781214716566"/>
    <n v="1332.1290905392075"/>
    <n v="1881.436499066484"/>
    <n v="-549.30740852727649"/>
    <n v="-17.509947747624551"/>
    <n v="-566.81735627490104"/>
    <n v="0"/>
    <n v="0"/>
    <n v="0"/>
    <n v="-566.81735627490104"/>
  </r>
  <r>
    <x v="11"/>
    <d v="2022-01-05T00:00:00"/>
    <d v="2022-01-24T00:00:00"/>
    <x v="11"/>
    <n v="9"/>
    <n v="94"/>
    <n v="20.675126363367955"/>
    <n v="14.638781214716566"/>
    <n v="1376.0454341833572"/>
    <n v="1943.4618781565878"/>
    <n v="-567.41644397323057"/>
    <n v="-18.087198772271513"/>
    <n v="-585.50364274550213"/>
    <n v="0"/>
    <n v="0"/>
    <n v="0"/>
    <n v="-585.50364274550213"/>
  </r>
  <r>
    <x v="0"/>
    <d v="2021-02-03T00:00:00"/>
    <d v="2021-02-24T00:00:00"/>
    <x v="12"/>
    <n v="9"/>
    <n v="11"/>
    <n v="20.675126363367955"/>
    <n v="14.638781214716566"/>
    <n v="161.02659336188222"/>
    <n v="227.42638999704749"/>
    <n v="-66.399796635165274"/>
    <n v="-2.1165870903721986"/>
    <n v="-68.516383725537466"/>
    <n v="0"/>
    <n v="0"/>
    <n v="0"/>
    <n v="-68.516383725537466"/>
  </r>
  <r>
    <x v="1"/>
    <d v="2021-03-03T00:00:00"/>
    <d v="2021-03-24T00:00:00"/>
    <x v="12"/>
    <n v="9"/>
    <n v="8"/>
    <n v="20.675126363367955"/>
    <n v="14.638781214716566"/>
    <n v="117.11024971773253"/>
    <n v="165.40101090694364"/>
    <n v="-48.290761189211111"/>
    <n v="-1.5393360657252351"/>
    <n v="-49.830097254936348"/>
    <n v="0"/>
    <n v="0"/>
    <n v="0"/>
    <n v="-49.830097254936348"/>
  </r>
  <r>
    <x v="2"/>
    <d v="2021-04-05T00:00:00"/>
    <d v="2021-04-26T00:00:00"/>
    <x v="12"/>
    <n v="9"/>
    <n v="7"/>
    <n v="20.675126363367955"/>
    <n v="14.638781214716566"/>
    <n v="102.47146850301596"/>
    <n v="144.72588454357569"/>
    <n v="-42.254416040559732"/>
    <n v="-1.3469190575095809"/>
    <n v="-43.601335098069313"/>
    <n v="0"/>
    <n v="0"/>
    <n v="0"/>
    <n v="-43.601335098069313"/>
  </r>
  <r>
    <x v="3"/>
    <d v="2021-05-05T00:00:00"/>
    <d v="2021-05-24T00:00:00"/>
    <x v="12"/>
    <n v="9"/>
    <n v="12"/>
    <n v="20.675126363367955"/>
    <n v="14.638781214716566"/>
    <n v="175.66537457659879"/>
    <n v="248.10151636041547"/>
    <n v="-72.43614178381668"/>
    <n v="-2.3090040985878528"/>
    <n v="-74.745145882404529"/>
    <n v="0"/>
    <n v="0"/>
    <n v="0"/>
    <n v="-74.745145882404529"/>
  </r>
  <r>
    <x v="4"/>
    <d v="2021-06-03T00:00:00"/>
    <d v="2021-06-24T00:00:00"/>
    <x v="12"/>
    <n v="9"/>
    <n v="11"/>
    <n v="20.675126363367955"/>
    <n v="14.638781214716566"/>
    <n v="161.02659336188222"/>
    <n v="227.42638999704749"/>
    <n v="-66.399796635165274"/>
    <n v="-2.1165870903721986"/>
    <n v="-68.516383725537466"/>
    <n v="0"/>
    <n v="0"/>
    <n v="0"/>
    <n v="-68.516383725537466"/>
  </r>
  <r>
    <x v="5"/>
    <d v="2021-07-06T00:00:00"/>
    <d v="2021-07-24T00:00:00"/>
    <x v="12"/>
    <n v="9"/>
    <n v="13"/>
    <n v="20.675126363367955"/>
    <n v="14.638781214716566"/>
    <n v="190.30415579131537"/>
    <n v="268.77664272378343"/>
    <n v="-78.472486932468058"/>
    <n v="-2.5014211068035075"/>
    <n v="-80.973908039271564"/>
    <n v="0"/>
    <n v="0"/>
    <n v="0"/>
    <n v="-80.973908039271564"/>
  </r>
  <r>
    <x v="6"/>
    <d v="2021-08-04T00:00:00"/>
    <d v="2021-08-24T00:00:00"/>
    <x v="12"/>
    <n v="9"/>
    <n v="13"/>
    <n v="20.675126363367955"/>
    <n v="14.638781214716566"/>
    <n v="190.30415579131537"/>
    <n v="268.77664272378343"/>
    <n v="-78.472486932468058"/>
    <n v="-2.5014211068035075"/>
    <n v="-80.973908039271564"/>
    <n v="0"/>
    <n v="0"/>
    <n v="0"/>
    <n v="-80.973908039271564"/>
  </r>
  <r>
    <x v="7"/>
    <d v="2021-09-03T00:00:00"/>
    <d v="2021-09-24T00:00:00"/>
    <x v="12"/>
    <n v="9"/>
    <n v="12"/>
    <n v="20.675126363367955"/>
    <n v="14.638781214716566"/>
    <n v="175.66537457659879"/>
    <n v="248.10151636041547"/>
    <n v="-72.43614178381668"/>
    <n v="-2.3090040985878528"/>
    <n v="-74.745145882404529"/>
    <n v="0"/>
    <n v="0"/>
    <n v="0"/>
    <n v="-74.745145882404529"/>
  </r>
  <r>
    <x v="8"/>
    <d v="2021-10-05T00:00:00"/>
    <d v="2021-10-25T00:00:00"/>
    <x v="12"/>
    <n v="9"/>
    <n v="13"/>
    <n v="20.675126363367955"/>
    <n v="14.638781214716566"/>
    <n v="190.30415579131537"/>
    <n v="268.77664272378343"/>
    <n v="-78.472486932468058"/>
    <n v="-2.5014211068035075"/>
    <n v="-80.973908039271564"/>
    <n v="0"/>
    <n v="0"/>
    <n v="0"/>
    <n v="-80.973908039271564"/>
  </r>
  <r>
    <x v="9"/>
    <d v="2021-11-03T00:00:00"/>
    <d v="2021-11-24T00:00:00"/>
    <x v="12"/>
    <n v="9"/>
    <n v="8"/>
    <n v="20.675126363367955"/>
    <n v="14.638781214716566"/>
    <n v="117.11024971773253"/>
    <n v="165.40101090694364"/>
    <n v="-48.290761189211111"/>
    <n v="-1.5393360657252351"/>
    <n v="-49.830097254936348"/>
    <n v="0"/>
    <n v="0"/>
    <n v="0"/>
    <n v="-49.830097254936348"/>
  </r>
  <r>
    <x v="10"/>
    <d v="2021-12-03T00:00:00"/>
    <d v="2021-12-27T00:00:00"/>
    <x v="12"/>
    <n v="9"/>
    <n v="8"/>
    <n v="20.675126363367955"/>
    <n v="14.638781214716566"/>
    <n v="117.11024971773253"/>
    <n v="165.40101090694364"/>
    <n v="-48.290761189211111"/>
    <n v="-1.5393360657252351"/>
    <n v="-49.830097254936348"/>
    <n v="0"/>
    <n v="0"/>
    <n v="0"/>
    <n v="-49.830097254936348"/>
  </r>
  <r>
    <x v="11"/>
    <d v="2022-01-05T00:00:00"/>
    <d v="2022-01-24T00:00:00"/>
    <x v="12"/>
    <n v="9"/>
    <n v="11"/>
    <n v="20.675126363367955"/>
    <n v="14.638781214716566"/>
    <n v="161.02659336188222"/>
    <n v="227.42638999704749"/>
    <n v="-66.399796635165274"/>
    <n v="-2.1165870903721986"/>
    <n v="-68.516383725537466"/>
    <n v="0"/>
    <n v="0"/>
    <n v="0"/>
    <n v="-68.516383725537466"/>
  </r>
  <r>
    <x v="0"/>
    <d v="2021-02-03T00:00:00"/>
    <d v="2021-02-24T00:00:00"/>
    <x v="13"/>
    <n v="9"/>
    <n v="20"/>
    <n v="20.675126363367955"/>
    <n v="14.638781214716566"/>
    <n v="292.77562429433135"/>
    <n v="413.50252726735908"/>
    <n v="-120.72690297302773"/>
    <n v="-3.8483401643130879"/>
    <n v="-124.57524313734082"/>
    <n v="0"/>
    <n v="0"/>
    <n v="0"/>
    <n v="-124.57524313734082"/>
  </r>
  <r>
    <x v="1"/>
    <d v="2021-03-03T00:00:00"/>
    <d v="2021-03-24T00:00:00"/>
    <x v="13"/>
    <n v="9"/>
    <n v="23"/>
    <n v="20.675126363367955"/>
    <n v="14.638781214716566"/>
    <n v="336.69196793848101"/>
    <n v="475.52790635746294"/>
    <n v="-138.83593841898193"/>
    <n v="-4.425591188960051"/>
    <n v="-143.26152960794198"/>
    <n v="0"/>
    <n v="0"/>
    <n v="0"/>
    <n v="-143.26152960794198"/>
  </r>
  <r>
    <x v="2"/>
    <d v="2021-04-05T00:00:00"/>
    <d v="2021-04-26T00:00:00"/>
    <x v="13"/>
    <n v="9"/>
    <n v="16"/>
    <n v="20.675126363367955"/>
    <n v="14.638781214716566"/>
    <n v="234.22049943546506"/>
    <n v="330.80202181388728"/>
    <n v="-96.581522378422221"/>
    <n v="-3.0786721314504701"/>
    <n v="-99.660194509872696"/>
    <n v="0"/>
    <n v="0"/>
    <n v="0"/>
    <n v="-99.660194509872696"/>
  </r>
  <r>
    <x v="3"/>
    <d v="2021-05-05T00:00:00"/>
    <d v="2021-05-24T00:00:00"/>
    <x v="13"/>
    <n v="9"/>
    <n v="20"/>
    <n v="20.675126363367955"/>
    <n v="14.638781214716566"/>
    <n v="292.77562429433135"/>
    <n v="413.50252726735908"/>
    <n v="-120.72690297302773"/>
    <n v="-3.8483401643130879"/>
    <n v="-124.57524313734082"/>
    <n v="0"/>
    <n v="0"/>
    <n v="0"/>
    <n v="-124.57524313734082"/>
  </r>
  <r>
    <x v="4"/>
    <d v="2021-06-03T00:00:00"/>
    <d v="2021-06-24T00:00:00"/>
    <x v="13"/>
    <n v="9"/>
    <n v="27"/>
    <n v="20.675126363367955"/>
    <n v="14.638781214716566"/>
    <n v="395.24709279734731"/>
    <n v="558.22841181093474"/>
    <n v="-162.98131901358744"/>
    <n v="-5.1952592218226687"/>
    <n v="-168.17657823541012"/>
    <n v="0"/>
    <n v="0"/>
    <n v="0"/>
    <n v="-168.17657823541012"/>
  </r>
  <r>
    <x v="5"/>
    <d v="2021-07-06T00:00:00"/>
    <d v="2021-07-24T00:00:00"/>
    <x v="13"/>
    <n v="9"/>
    <n v="32"/>
    <n v="20.675126363367955"/>
    <n v="14.638781214716566"/>
    <n v="468.44099887093012"/>
    <n v="661.60404362777456"/>
    <n v="-193.16304475684444"/>
    <n v="-6.1573442629009403"/>
    <n v="-199.32038901974539"/>
    <n v="0"/>
    <n v="0"/>
    <n v="0"/>
    <n v="-199.32038901974539"/>
  </r>
  <r>
    <x v="6"/>
    <d v="2021-08-04T00:00:00"/>
    <d v="2021-08-24T00:00:00"/>
    <x v="13"/>
    <n v="9"/>
    <n v="37"/>
    <n v="20.675126363367955"/>
    <n v="14.638781214716566"/>
    <n v="541.63490494451298"/>
    <n v="764.97967544461437"/>
    <n v="-223.34477050010139"/>
    <n v="-7.1194293039792127"/>
    <n v="-230.46419980408061"/>
    <n v="0"/>
    <n v="0"/>
    <n v="0"/>
    <n v="-230.46419980408061"/>
  </r>
  <r>
    <x v="7"/>
    <d v="2021-09-03T00:00:00"/>
    <d v="2021-09-24T00:00:00"/>
    <x v="13"/>
    <n v="9"/>
    <n v="33"/>
    <n v="20.675126363367955"/>
    <n v="14.638781214716566"/>
    <n v="483.07978008564669"/>
    <n v="682.27916999114257"/>
    <n v="-199.19938990549588"/>
    <n v="-6.3497612711165949"/>
    <n v="-205.54915117661247"/>
    <n v="0"/>
    <n v="0"/>
    <n v="0"/>
    <n v="-205.54915117661247"/>
  </r>
  <r>
    <x v="8"/>
    <d v="2021-10-05T00:00:00"/>
    <d v="2021-10-25T00:00:00"/>
    <x v="13"/>
    <n v="9"/>
    <n v="37"/>
    <n v="20.675126363367955"/>
    <n v="14.638781214716566"/>
    <n v="541.63490494451298"/>
    <n v="764.97967544461437"/>
    <n v="-223.34477050010139"/>
    <n v="-7.1194293039792127"/>
    <n v="-230.46419980408061"/>
    <n v="0"/>
    <n v="0"/>
    <n v="0"/>
    <n v="-230.46419980408061"/>
  </r>
  <r>
    <x v="9"/>
    <d v="2021-11-03T00:00:00"/>
    <d v="2021-11-24T00:00:00"/>
    <x v="13"/>
    <n v="9"/>
    <n v="27"/>
    <n v="20.675126363367955"/>
    <n v="14.638781214716566"/>
    <n v="395.24709279734731"/>
    <n v="558.22841181093474"/>
    <n v="-162.98131901358744"/>
    <n v="-5.1952592218226687"/>
    <n v="-168.17657823541012"/>
    <n v="0"/>
    <n v="0"/>
    <n v="0"/>
    <n v="-168.17657823541012"/>
  </r>
  <r>
    <x v="10"/>
    <d v="2021-12-03T00:00:00"/>
    <d v="2021-12-27T00:00:00"/>
    <x v="13"/>
    <n v="9"/>
    <n v="16"/>
    <n v="20.675126363367955"/>
    <n v="14.638781214716566"/>
    <n v="234.22049943546506"/>
    <n v="330.80202181388728"/>
    <n v="-96.581522378422221"/>
    <n v="-3.0786721314504701"/>
    <n v="-99.660194509872696"/>
    <n v="0"/>
    <n v="0"/>
    <n v="0"/>
    <n v="-99.660194509872696"/>
  </r>
  <r>
    <x v="11"/>
    <d v="2022-01-05T00:00:00"/>
    <d v="2022-01-24T00:00:00"/>
    <x v="13"/>
    <n v="9"/>
    <n v="19"/>
    <n v="20.675126363367955"/>
    <n v="14.638781214716566"/>
    <n v="278.13684307961478"/>
    <n v="392.82740090399113"/>
    <n v="-114.69055782437636"/>
    <n v="-3.6559231560974337"/>
    <n v="-118.34648098047379"/>
    <n v="0"/>
    <n v="0"/>
    <n v="0"/>
    <n v="-118.34648098047379"/>
  </r>
  <r>
    <x v="0"/>
    <d v="2021-02-03T00:00:00"/>
    <d v="2021-02-24T00:00:00"/>
    <x v="14"/>
    <n v="9"/>
    <n v="35"/>
    <n v="20.675126363367955"/>
    <n v="14.638781214716566"/>
    <n v="512.35734251507984"/>
    <n v="723.62942271787847"/>
    <n v="-211.27208020279863"/>
    <n v="-6.7345952875479043"/>
    <n v="-218.00667549034654"/>
    <n v="0"/>
    <n v="0"/>
    <n v="0"/>
    <n v="-218.00667549034654"/>
  </r>
  <r>
    <x v="1"/>
    <d v="2021-03-03T00:00:00"/>
    <d v="2021-03-24T00:00:00"/>
    <x v="14"/>
    <n v="9"/>
    <n v="33"/>
    <n v="20.675126363367955"/>
    <n v="14.638781214716566"/>
    <n v="483.07978008564669"/>
    <n v="682.27916999114257"/>
    <n v="-199.19938990549588"/>
    <n v="-6.3497612711165949"/>
    <n v="-205.54915117661247"/>
    <n v="0"/>
    <n v="0"/>
    <n v="0"/>
    <n v="-205.54915117661247"/>
  </r>
  <r>
    <x v="2"/>
    <d v="2021-04-05T00:00:00"/>
    <d v="2021-04-26T00:00:00"/>
    <x v="14"/>
    <n v="9"/>
    <n v="30"/>
    <n v="20.675126363367955"/>
    <n v="14.638781214716566"/>
    <n v="439.16343644149697"/>
    <n v="620.25379090103866"/>
    <n v="-181.09035445954169"/>
    <n v="-5.7725102464696318"/>
    <n v="-186.86286470601132"/>
    <n v="0"/>
    <n v="0"/>
    <n v="0"/>
    <n v="-186.86286470601132"/>
  </r>
  <r>
    <x v="3"/>
    <d v="2021-05-05T00:00:00"/>
    <d v="2021-05-24T00:00:00"/>
    <x v="14"/>
    <n v="9"/>
    <n v="32"/>
    <n v="20.675126363367955"/>
    <n v="14.638781214716566"/>
    <n v="468.44099887093012"/>
    <n v="661.60404362777456"/>
    <n v="-193.16304475684444"/>
    <n v="-6.1573442629009403"/>
    <n v="-199.32038901974539"/>
    <n v="0"/>
    <n v="0"/>
    <n v="0"/>
    <n v="-199.32038901974539"/>
  </r>
  <r>
    <x v="4"/>
    <d v="2021-06-03T00:00:00"/>
    <d v="2021-06-24T00:00:00"/>
    <x v="14"/>
    <n v="9"/>
    <n v="40"/>
    <n v="20.675126363367955"/>
    <n v="14.638781214716566"/>
    <n v="585.5512485886627"/>
    <n v="827.00505453471817"/>
    <n v="-241.45380594605547"/>
    <n v="-7.6966803286261758"/>
    <n v="-249.15048627468164"/>
    <n v="0"/>
    <n v="0"/>
    <n v="0"/>
    <n v="-249.15048627468164"/>
  </r>
  <r>
    <x v="5"/>
    <d v="2021-07-06T00:00:00"/>
    <d v="2021-07-24T00:00:00"/>
    <x v="14"/>
    <n v="9"/>
    <n v="46"/>
    <n v="20.675126363367955"/>
    <n v="14.638781214716566"/>
    <n v="673.38393587696203"/>
    <n v="951.05581271492588"/>
    <n v="-277.67187683796385"/>
    <n v="-8.851182377920102"/>
    <n v="-286.52305921588396"/>
    <n v="0"/>
    <n v="0"/>
    <n v="0"/>
    <n v="-286.52305921588396"/>
  </r>
  <r>
    <x v="6"/>
    <d v="2021-08-04T00:00:00"/>
    <d v="2021-08-24T00:00:00"/>
    <x v="14"/>
    <n v="9"/>
    <n v="48"/>
    <n v="20.675126363367955"/>
    <n v="14.638781214716566"/>
    <n v="702.66149830639517"/>
    <n v="992.40606544166189"/>
    <n v="-289.74456713526672"/>
    <n v="-9.2360163943514113"/>
    <n v="-298.98058352961812"/>
    <n v="0"/>
    <n v="0"/>
    <n v="0"/>
    <n v="-298.98058352961812"/>
  </r>
  <r>
    <x v="7"/>
    <d v="2021-09-03T00:00:00"/>
    <d v="2021-09-24T00:00:00"/>
    <x v="14"/>
    <n v="9"/>
    <n v="50"/>
    <n v="20.675126363367955"/>
    <n v="14.638781214716566"/>
    <n v="731.93906073582832"/>
    <n v="1033.7563181683977"/>
    <n v="-301.81725743256936"/>
    <n v="-9.6208504107827206"/>
    <n v="-311.4381078433521"/>
    <n v="0"/>
    <n v="0"/>
    <n v="0"/>
    <n v="-311.4381078433521"/>
  </r>
  <r>
    <x v="8"/>
    <d v="2021-10-05T00:00:00"/>
    <d v="2021-10-25T00:00:00"/>
    <x v="14"/>
    <n v="9"/>
    <n v="52"/>
    <n v="20.675126363367955"/>
    <n v="14.638781214716566"/>
    <n v="761.21662316526147"/>
    <n v="1075.1065708951337"/>
    <n v="-313.88994772987223"/>
    <n v="-10.00568442721403"/>
    <n v="-323.89563215708625"/>
    <n v="0"/>
    <n v="0"/>
    <n v="0"/>
    <n v="-323.89563215708625"/>
  </r>
  <r>
    <x v="9"/>
    <d v="2021-11-03T00:00:00"/>
    <d v="2021-11-24T00:00:00"/>
    <x v="14"/>
    <n v="9"/>
    <n v="40"/>
    <n v="20.675126363367955"/>
    <n v="14.638781214716566"/>
    <n v="585.5512485886627"/>
    <n v="827.00505453471817"/>
    <n v="-241.45380594605547"/>
    <n v="-7.6966803286261758"/>
    <n v="-249.15048627468164"/>
    <n v="0"/>
    <n v="0"/>
    <n v="0"/>
    <n v="-249.15048627468164"/>
  </r>
  <r>
    <x v="10"/>
    <d v="2021-12-03T00:00:00"/>
    <d v="2021-12-27T00:00:00"/>
    <x v="14"/>
    <n v="9"/>
    <n v="32"/>
    <n v="20.675126363367955"/>
    <n v="14.638781214716566"/>
    <n v="468.44099887093012"/>
    <n v="661.60404362777456"/>
    <n v="-193.16304475684444"/>
    <n v="-6.1573442629009403"/>
    <n v="-199.32038901974539"/>
    <n v="0"/>
    <n v="0"/>
    <n v="0"/>
    <n v="-199.32038901974539"/>
  </r>
  <r>
    <x v="11"/>
    <d v="2022-01-05T00:00:00"/>
    <d v="2022-01-24T00:00:00"/>
    <x v="14"/>
    <n v="9"/>
    <n v="35"/>
    <n v="20.675126363367955"/>
    <n v="14.638781214716566"/>
    <n v="512.35734251507984"/>
    <n v="723.62942271787847"/>
    <n v="-211.27208020279863"/>
    <n v="-6.7345952875479043"/>
    <n v="-218.00667549034654"/>
    <n v="0"/>
    <n v="0"/>
    <n v="0"/>
    <n v="-218.00667549034654"/>
  </r>
  <r>
    <x v="0"/>
    <d v="2021-02-03T00:00:00"/>
    <d v="2021-02-24T00:00:00"/>
    <x v="15"/>
    <n v="9"/>
    <n v="94"/>
    <n v="20.675126363367955"/>
    <n v="14.638781214716566"/>
    <n v="1376.0454341833572"/>
    <n v="1943.4618781565878"/>
    <n v="-567.41644397323057"/>
    <n v="-18.087198772271513"/>
    <n v="-585.50364274550213"/>
    <n v="0"/>
    <n v="0"/>
    <n v="0"/>
    <n v="-585.50364274550213"/>
  </r>
  <r>
    <x v="1"/>
    <d v="2021-03-03T00:00:00"/>
    <d v="2021-03-24T00:00:00"/>
    <x v="15"/>
    <n v="9"/>
    <n v="100"/>
    <n v="20.675126363367955"/>
    <n v="14.638781214716566"/>
    <n v="1463.8781214716566"/>
    <n v="2067.5126363367954"/>
    <n v="-603.63451486513873"/>
    <n v="-19.241700821565441"/>
    <n v="-622.8762156867042"/>
    <n v="0"/>
    <n v="0"/>
    <n v="0"/>
    <n v="-622.8762156867042"/>
  </r>
  <r>
    <x v="2"/>
    <d v="2021-04-05T00:00:00"/>
    <d v="2021-04-26T00:00:00"/>
    <x v="15"/>
    <n v="9"/>
    <n v="101"/>
    <n v="20.675126363367955"/>
    <n v="14.638781214716566"/>
    <n v="1478.5169026863732"/>
    <n v="2088.1877627001636"/>
    <n v="-609.67086001379039"/>
    <n v="-19.434117829781094"/>
    <n v="-629.10497784357153"/>
    <n v="0"/>
    <n v="0"/>
    <n v="0"/>
    <n v="-629.10497784357153"/>
  </r>
  <r>
    <x v="3"/>
    <d v="2021-05-05T00:00:00"/>
    <d v="2021-05-24T00:00:00"/>
    <x v="15"/>
    <n v="9"/>
    <n v="98"/>
    <n v="20.675126363367955"/>
    <n v="14.638781214716566"/>
    <n v="1434.6005590422235"/>
    <n v="2026.1623836100596"/>
    <n v="-591.56182456783608"/>
    <n v="-18.856866805134132"/>
    <n v="-610.41869137297022"/>
    <n v="0"/>
    <n v="0"/>
    <n v="0"/>
    <n v="-610.41869137297022"/>
  </r>
  <r>
    <x v="4"/>
    <d v="2021-06-03T00:00:00"/>
    <d v="2021-06-24T00:00:00"/>
    <x v="15"/>
    <n v="9"/>
    <n v="99"/>
    <n v="20.675126363367955"/>
    <n v="14.638781214716566"/>
    <n v="1449.2393402569401"/>
    <n v="2046.8375099734276"/>
    <n v="-597.59816971648752"/>
    <n v="-19.049283813349788"/>
    <n v="-616.64745352983732"/>
    <n v="0"/>
    <n v="0"/>
    <n v="0"/>
    <n v="-616.64745352983732"/>
  </r>
  <r>
    <x v="5"/>
    <d v="2021-07-06T00:00:00"/>
    <d v="2021-07-24T00:00:00"/>
    <x v="15"/>
    <n v="9"/>
    <n v="113"/>
    <n v="20.675126363367955"/>
    <n v="14.638781214716566"/>
    <n v="1654.1822772629719"/>
    <n v="2336.2892790605788"/>
    <n v="-682.10700179760693"/>
    <n v="-21.743121928368947"/>
    <n v="-703.85012372597589"/>
    <n v="0"/>
    <n v="0"/>
    <n v="0"/>
    <n v="-703.85012372597589"/>
  </r>
  <r>
    <x v="6"/>
    <d v="2021-08-04T00:00:00"/>
    <d v="2021-08-24T00:00:00"/>
    <x v="15"/>
    <n v="9"/>
    <n v="116"/>
    <n v="20.675126363367955"/>
    <n v="14.638781214716566"/>
    <n v="1698.0986209071216"/>
    <n v="2398.3146581506826"/>
    <n v="-700.216037243561"/>
    <n v="-22.320372953015909"/>
    <n v="-722.53641019657687"/>
    <n v="0"/>
    <n v="0"/>
    <n v="0"/>
    <n v="-722.53641019657687"/>
  </r>
  <r>
    <x v="7"/>
    <d v="2021-09-03T00:00:00"/>
    <d v="2021-09-24T00:00:00"/>
    <x v="15"/>
    <n v="9"/>
    <n v="116"/>
    <n v="20.675126363367955"/>
    <n v="14.638781214716566"/>
    <n v="1698.0986209071216"/>
    <n v="2398.3146581506826"/>
    <n v="-700.216037243561"/>
    <n v="-22.320372953015909"/>
    <n v="-722.53641019657687"/>
    <n v="0"/>
    <n v="0"/>
    <n v="0"/>
    <n v="-722.53641019657687"/>
  </r>
  <r>
    <x v="8"/>
    <d v="2021-10-05T00:00:00"/>
    <d v="2021-10-25T00:00:00"/>
    <x v="15"/>
    <n v="9"/>
    <n v="116"/>
    <n v="20.675126363367955"/>
    <n v="14.638781214716566"/>
    <n v="1698.0986209071216"/>
    <n v="2398.3146581506826"/>
    <n v="-700.216037243561"/>
    <n v="-22.320372953015909"/>
    <n v="-722.53641019657687"/>
    <n v="0"/>
    <n v="0"/>
    <n v="0"/>
    <n v="-722.53641019657687"/>
  </r>
  <r>
    <x v="9"/>
    <d v="2021-11-03T00:00:00"/>
    <d v="2021-11-24T00:00:00"/>
    <x v="15"/>
    <n v="9"/>
    <n v="105"/>
    <n v="20.675126363367955"/>
    <n v="14.638781214716566"/>
    <n v="1537.0720275452395"/>
    <n v="2170.8882681536352"/>
    <n v="-633.81624060839567"/>
    <n v="-20.203785862643713"/>
    <n v="-654.02002647103939"/>
    <n v="0"/>
    <n v="0"/>
    <n v="0"/>
    <n v="-654.02002647103939"/>
  </r>
  <r>
    <x v="10"/>
    <d v="2021-12-03T00:00:00"/>
    <d v="2021-12-27T00:00:00"/>
    <x v="15"/>
    <n v="9"/>
    <n v="100"/>
    <n v="20.675126363367955"/>
    <n v="14.638781214716566"/>
    <n v="1463.8781214716566"/>
    <n v="2067.5126363367954"/>
    <n v="-603.63451486513873"/>
    <n v="-19.241700821565441"/>
    <n v="-622.8762156867042"/>
    <n v="0"/>
    <n v="0"/>
    <n v="0"/>
    <n v="-622.8762156867042"/>
  </r>
  <r>
    <x v="11"/>
    <d v="2022-01-05T00:00:00"/>
    <d v="2022-01-24T00:00:00"/>
    <x v="15"/>
    <n v="9"/>
    <n v="103"/>
    <n v="20.675126363367955"/>
    <n v="14.638781214716566"/>
    <n v="1507.7944651158064"/>
    <n v="2129.5380154268992"/>
    <n v="-621.7435503110928"/>
    <n v="-19.818951846212403"/>
    <n v="-641.56250215730518"/>
    <n v="0"/>
    <n v="0"/>
    <n v="0"/>
    <n v="-641.562502157305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112" dataOnRows="1" applyNumberFormats="0" applyBorderFormats="0" applyFontFormats="0" applyPatternFormats="0" applyAlignmentFormats="0" applyWidthHeightFormats="1" dataCaption="Data" updatedVersion="7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45">
        <item m="1" x="53"/>
        <item m="1" x="75"/>
        <item m="1" x="97"/>
        <item m="1" x="119"/>
        <item m="1" x="141"/>
        <item m="1" x="31"/>
        <item m="1" x="64"/>
        <item m="1" x="86"/>
        <item m="1" x="108"/>
        <item m="1" x="130"/>
        <item m="1" x="20"/>
        <item m="1" x="42"/>
        <item m="1" x="54"/>
        <item m="1" x="76"/>
        <item m="1" x="98"/>
        <item m="1" x="120"/>
        <item m="1" x="142"/>
        <item m="1" x="32"/>
        <item m="1" x="65"/>
        <item m="1" x="87"/>
        <item m="1" x="109"/>
        <item m="1" x="131"/>
        <item m="1" x="21"/>
        <item m="1" x="43"/>
        <item m="1" x="55"/>
        <item m="1" x="77"/>
        <item m="1" x="99"/>
        <item m="1" x="121"/>
        <item m="1" x="143"/>
        <item m="1" x="33"/>
        <item m="1" x="66"/>
        <item m="1" x="88"/>
        <item m="1" x="110"/>
        <item m="1" x="132"/>
        <item m="1" x="22"/>
        <item m="1" x="44"/>
        <item m="1" x="56"/>
        <item m="1" x="78"/>
        <item m="1" x="100"/>
        <item m="1" x="122"/>
        <item m="1" x="12"/>
        <item m="1" x="34"/>
        <item m="1" x="67"/>
        <item m="1" x="89"/>
        <item m="1" x="111"/>
        <item m="1" x="133"/>
        <item m="1" x="23"/>
        <item m="1" x="45"/>
        <item m="1" x="57"/>
        <item m="1" x="79"/>
        <item m="1" x="101"/>
        <item m="1" x="123"/>
        <item m="1" x="13"/>
        <item m="1" x="35"/>
        <item m="1" x="68"/>
        <item m="1" x="90"/>
        <item m="1" x="112"/>
        <item m="1" x="134"/>
        <item m="1" x="24"/>
        <item m="1" x="46"/>
        <item m="1" x="58"/>
        <item m="1" x="80"/>
        <item m="1" x="102"/>
        <item m="1" x="124"/>
        <item m="1" x="14"/>
        <item m="1" x="36"/>
        <item m="1" x="69"/>
        <item m="1" x="91"/>
        <item m="1" x="113"/>
        <item m="1" x="135"/>
        <item m="1" x="25"/>
        <item m="1" x="47"/>
        <item m="1" x="59"/>
        <item m="1" x="81"/>
        <item m="1" x="103"/>
        <item m="1" x="125"/>
        <item m="1" x="15"/>
        <item m="1" x="37"/>
        <item m="1" x="70"/>
        <item m="1" x="92"/>
        <item m="1" x="114"/>
        <item m="1" x="136"/>
        <item m="1" x="26"/>
        <item m="1" x="48"/>
        <item m="1" x="60"/>
        <item m="1" x="82"/>
        <item m="1" x="104"/>
        <item m="1" x="126"/>
        <item m="1" x="16"/>
        <item m="1" x="38"/>
        <item m="1" x="71"/>
        <item m="1" x="93"/>
        <item m="1" x="115"/>
        <item m="1" x="137"/>
        <item m="1" x="27"/>
        <item m="1" x="49"/>
        <item m="1" x="61"/>
        <item m="1" x="83"/>
        <item m="1" x="105"/>
        <item m="1" x="127"/>
        <item m="1" x="17"/>
        <item m="1" x="39"/>
        <item m="1" x="72"/>
        <item m="1" x="94"/>
        <item m="1" x="116"/>
        <item m="1" x="138"/>
        <item m="1" x="28"/>
        <item m="1" x="50"/>
        <item m="1" x="62"/>
        <item m="1" x="84"/>
        <item m="1" x="106"/>
        <item m="1" x="128"/>
        <item m="1" x="18"/>
        <item m="1" x="40"/>
        <item m="1" x="73"/>
        <item m="1" x="95"/>
        <item m="1" x="117"/>
        <item m="1" x="139"/>
        <item m="1" x="29"/>
        <item m="1" x="51"/>
        <item m="1" x="63"/>
        <item m="1" x="85"/>
        <item m="1" x="107"/>
        <item m="1" x="129"/>
        <item m="1" x="19"/>
        <item m="1" x="41"/>
        <item m="1" x="74"/>
        <item m="1" x="96"/>
        <item m="1" x="118"/>
        <item m="1" x="140"/>
        <item m="1" x="30"/>
        <item m="1" x="5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 defaultSubtota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workbookViewId="0">
      <selection activeCell="D7" sqref="D7"/>
    </sheetView>
  </sheetViews>
  <sheetFormatPr defaultColWidth="8.7109375" defaultRowHeight="12.75" x14ac:dyDescent="0.2"/>
  <cols>
    <col min="1" max="16384" width="8.7109375" style="1"/>
  </cols>
  <sheetData>
    <row r="1" spans="1:2" x14ac:dyDescent="0.2">
      <c r="A1" s="1" t="s">
        <v>62</v>
      </c>
    </row>
    <row r="3" spans="1:2" x14ac:dyDescent="0.2">
      <c r="A3" s="2">
        <v>1</v>
      </c>
      <c r="B3" s="3" t="s">
        <v>64</v>
      </c>
    </row>
    <row r="4" spans="1:2" x14ac:dyDescent="0.2">
      <c r="A4" s="2">
        <v>2</v>
      </c>
      <c r="B4" s="3" t="s">
        <v>63</v>
      </c>
    </row>
    <row r="5" spans="1:2" x14ac:dyDescent="0.2">
      <c r="A5" s="2">
        <v>3</v>
      </c>
      <c r="B5" s="3" t="s">
        <v>65</v>
      </c>
    </row>
    <row r="6" spans="1:2" x14ac:dyDescent="0.2">
      <c r="A6" s="2">
        <v>4</v>
      </c>
      <c r="B6" s="4" t="s">
        <v>79</v>
      </c>
    </row>
    <row r="7" spans="1:2" x14ac:dyDescent="0.2">
      <c r="A7" s="2">
        <v>5</v>
      </c>
      <c r="B7" s="3" t="s">
        <v>66</v>
      </c>
    </row>
    <row r="8" spans="1:2" x14ac:dyDescent="0.2">
      <c r="A8" s="2">
        <v>6</v>
      </c>
      <c r="B8" s="3" t="s">
        <v>67</v>
      </c>
    </row>
    <row r="9" spans="1:2" x14ac:dyDescent="0.2">
      <c r="A9" s="2">
        <v>7</v>
      </c>
      <c r="B9" s="5" t="s">
        <v>68</v>
      </c>
    </row>
    <row r="10" spans="1:2" x14ac:dyDescent="0.2">
      <c r="A10" s="2">
        <v>8</v>
      </c>
      <c r="B10" s="3" t="s">
        <v>71</v>
      </c>
    </row>
    <row r="11" spans="1:2" x14ac:dyDescent="0.2">
      <c r="A11" s="2"/>
      <c r="B11" s="3" t="s">
        <v>72</v>
      </c>
    </row>
    <row r="12" spans="1:2" x14ac:dyDescent="0.2">
      <c r="A12" s="2"/>
      <c r="B12" s="5" t="s">
        <v>73</v>
      </c>
    </row>
    <row r="13" spans="1:2" x14ac:dyDescent="0.2">
      <c r="A13" s="2"/>
      <c r="B13" s="5" t="s">
        <v>74</v>
      </c>
    </row>
    <row r="14" spans="1:2" x14ac:dyDescent="0.2">
      <c r="A14" s="2">
        <v>9</v>
      </c>
      <c r="B14" s="3" t="s">
        <v>75</v>
      </c>
    </row>
    <row r="15" spans="1:2" x14ac:dyDescent="0.2">
      <c r="A15" s="2">
        <v>10</v>
      </c>
      <c r="B15" s="3" t="s">
        <v>77</v>
      </c>
    </row>
    <row r="16" spans="1:2" x14ac:dyDescent="0.2">
      <c r="A16" s="2">
        <v>11</v>
      </c>
      <c r="B16" s="3" t="s">
        <v>78</v>
      </c>
    </row>
    <row r="17" spans="1:1" x14ac:dyDescent="0.2">
      <c r="A17" s="2"/>
    </row>
  </sheetData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40"/>
  <sheetViews>
    <sheetView tabSelected="1" zoomScale="85" zoomScaleNormal="85" zoomScaleSheetLayoutView="100" workbookViewId="0">
      <selection activeCell="B7" sqref="B7"/>
    </sheetView>
  </sheetViews>
  <sheetFormatPr defaultColWidth="33.28515625" defaultRowHeight="12.75" x14ac:dyDescent="0.2"/>
  <cols>
    <col min="1" max="1" width="9.140625" style="1" customWidth="1"/>
    <col min="2" max="2" width="14" style="1" customWidth="1"/>
    <col min="3" max="3" width="21.85546875" style="1" customWidth="1"/>
    <col min="4" max="4" width="15.5703125" style="1" customWidth="1"/>
    <col min="5" max="16" width="14" style="1" customWidth="1"/>
    <col min="17" max="17" width="15" style="1" customWidth="1"/>
    <col min="18" max="110" width="31.7109375" style="1" customWidth="1"/>
    <col min="111" max="111" width="11.42578125" style="1" customWidth="1"/>
    <col min="112" max="16384" width="33.28515625" style="1"/>
  </cols>
  <sheetData>
    <row r="1" spans="2:19" x14ac:dyDescent="0.2">
      <c r="C1" s="249" t="str">
        <f>+Transactions!B1</f>
        <v>AEPTCo Formula Rate -- FERC Docket ER18-195</v>
      </c>
      <c r="D1" s="249"/>
      <c r="E1" s="249"/>
      <c r="F1" s="249"/>
      <c r="G1" s="249"/>
      <c r="H1" s="249"/>
      <c r="I1" s="249"/>
      <c r="L1" s="6">
        <v>2021</v>
      </c>
    </row>
    <row r="2" spans="2:19" x14ac:dyDescent="0.2">
      <c r="C2" s="249" t="s">
        <v>97</v>
      </c>
      <c r="D2" s="249"/>
      <c r="E2" s="249"/>
      <c r="F2" s="249"/>
      <c r="G2" s="249"/>
      <c r="H2" s="249"/>
      <c r="I2" s="249"/>
    </row>
    <row r="3" spans="2:19" x14ac:dyDescent="0.2">
      <c r="C3" s="249" t="str">
        <f>"for period 01/01/"&amp;F8&amp;" - 12/31/"&amp;F8</f>
        <v>for period 01/01/2021 - 12/31/2021</v>
      </c>
      <c r="D3" s="249"/>
      <c r="E3" s="249"/>
      <c r="F3" s="249"/>
      <c r="G3" s="249"/>
      <c r="H3" s="249"/>
      <c r="I3" s="249"/>
    </row>
    <row r="4" spans="2:19" x14ac:dyDescent="0.2">
      <c r="C4" s="249" t="s">
        <v>93</v>
      </c>
      <c r="D4" s="249"/>
      <c r="E4" s="249"/>
      <c r="F4" s="249"/>
      <c r="G4" s="249"/>
      <c r="H4" s="249"/>
      <c r="I4" s="249"/>
    </row>
    <row r="5" spans="2:19" x14ac:dyDescent="0.2">
      <c r="C5" s="7" t="str">
        <f>"Prepared:  May 24_, "&amp;L1+1&amp;""</f>
        <v>Prepared:  May 24_, 2022</v>
      </c>
      <c r="D5" s="8"/>
    </row>
    <row r="6" spans="2:19" x14ac:dyDescent="0.2">
      <c r="C6" s="9"/>
    </row>
    <row r="7" spans="2:19" x14ac:dyDescent="0.2">
      <c r="C7" s="10"/>
    </row>
    <row r="8" spans="2:19" ht="27.75" customHeight="1" thickBot="1" x14ac:dyDescent="0.25">
      <c r="F8" s="11">
        <f>Transactions!R1</f>
        <v>2021</v>
      </c>
    </row>
    <row r="9" spans="2:19" ht="20.25" customHeight="1" x14ac:dyDescent="0.2">
      <c r="E9" s="12" t="s">
        <v>92</v>
      </c>
      <c r="F9" s="13"/>
      <c r="G9" s="14"/>
      <c r="H9" s="15"/>
      <c r="L9" s="2"/>
    </row>
    <row r="10" spans="2:19" ht="42" customHeight="1" thickBot="1" x14ac:dyDescent="0.25">
      <c r="B10" s="16"/>
      <c r="E10" s="17" t="str">
        <f>"(per "&amp;$F8&amp;" Projections "&amp;$F8&amp;")"</f>
        <v>(per 2021 Projections 2021)</v>
      </c>
      <c r="F10" s="18" t="str">
        <f>"(per "&amp;F8&amp;" Update of May "&amp;F8+1&amp;")"</f>
        <v>(per 2021 Update of May 2022)</v>
      </c>
      <c r="G10" s="19"/>
      <c r="H10" s="20"/>
    </row>
    <row r="11" spans="2:19" ht="21.75" customHeight="1" x14ac:dyDescent="0.2">
      <c r="B11" s="21"/>
      <c r="C11" s="22" t="s">
        <v>38</v>
      </c>
      <c r="D11" s="23" t="s">
        <v>36</v>
      </c>
      <c r="E11" s="24">
        <f>Transactions!K2</f>
        <v>2031455.2159590817</v>
      </c>
      <c r="F11" s="25"/>
      <c r="G11" s="26"/>
      <c r="H11" s="27"/>
    </row>
    <row r="12" spans="2:19" ht="21.75" customHeight="1" x14ac:dyDescent="0.2">
      <c r="B12" s="21"/>
      <c r="C12" s="28"/>
      <c r="D12" s="29" t="s">
        <v>41</v>
      </c>
      <c r="E12" s="30"/>
      <c r="F12" s="31">
        <f>+Transactions!J2</f>
        <v>1439153.2200000004</v>
      </c>
      <c r="G12" s="32"/>
      <c r="H12" s="33"/>
      <c r="K12" s="34"/>
    </row>
    <row r="13" spans="2:19" ht="21.75" customHeight="1" x14ac:dyDescent="0.2">
      <c r="B13" s="35"/>
      <c r="C13" s="36" t="s">
        <v>39</v>
      </c>
      <c r="D13" s="37" t="s">
        <v>37</v>
      </c>
      <c r="E13" s="38">
        <f>Transactions!K3</f>
        <v>20.675126363367955</v>
      </c>
      <c r="F13" s="33"/>
      <c r="G13" s="39"/>
      <c r="H13" s="40"/>
      <c r="K13" s="41"/>
    </row>
    <row r="14" spans="2:19" ht="21.75" customHeight="1" thickBot="1" x14ac:dyDescent="0.25">
      <c r="B14" s="16"/>
      <c r="C14" s="42"/>
      <c r="D14" s="43" t="s">
        <v>40</v>
      </c>
      <c r="E14" s="44"/>
      <c r="F14" s="45">
        <f>+Transactions!J3</f>
        <v>14.638781214716566</v>
      </c>
      <c r="G14" s="46"/>
      <c r="H14" s="33"/>
      <c r="K14" s="34"/>
    </row>
    <row r="15" spans="2:19" x14ac:dyDescent="0.2">
      <c r="B15" s="21"/>
      <c r="E15" s="47"/>
      <c r="K15" s="41"/>
    </row>
    <row r="16" spans="2:19" x14ac:dyDescent="0.2">
      <c r="B16" s="35"/>
      <c r="C16" s="35"/>
      <c r="D16" s="48"/>
      <c r="E16" s="35"/>
      <c r="F16" s="49"/>
      <c r="G16" s="50"/>
      <c r="H16" s="50"/>
      <c r="K16" s="51"/>
      <c r="L16" s="47"/>
      <c r="N16" s="52"/>
      <c r="O16" s="53"/>
      <c r="P16" s="53"/>
      <c r="Q16" s="53"/>
      <c r="R16" s="53"/>
      <c r="S16" s="53"/>
    </row>
    <row r="17" spans="2:19" x14ac:dyDescent="0.2">
      <c r="C17" s="10"/>
      <c r="K17" s="41"/>
      <c r="N17" s="54"/>
      <c r="O17" s="53"/>
      <c r="P17" s="53"/>
      <c r="Q17" s="53"/>
      <c r="R17" s="53"/>
      <c r="S17" s="53"/>
    </row>
    <row r="18" spans="2:19" x14ac:dyDescent="0.2">
      <c r="C18" s="52"/>
      <c r="D18" s="52"/>
      <c r="E18" s="52"/>
      <c r="F18" s="52"/>
      <c r="G18" s="52"/>
      <c r="H18" s="52"/>
      <c r="I18" s="52"/>
      <c r="N18" s="52"/>
      <c r="O18" s="53"/>
      <c r="P18" s="53"/>
      <c r="Q18" s="53"/>
      <c r="R18" s="53"/>
      <c r="S18" s="53"/>
    </row>
    <row r="19" spans="2:19" ht="21" customHeight="1" thickBot="1" x14ac:dyDescent="0.25">
      <c r="C19" s="55" t="s">
        <v>31</v>
      </c>
      <c r="D19" s="55" t="s">
        <v>32</v>
      </c>
      <c r="E19" s="56" t="s">
        <v>33</v>
      </c>
      <c r="F19" s="56" t="s">
        <v>34</v>
      </c>
      <c r="G19" s="55" t="s">
        <v>35</v>
      </c>
      <c r="H19" s="55" t="s">
        <v>91</v>
      </c>
      <c r="I19" s="56" t="s">
        <v>90</v>
      </c>
      <c r="J19" s="57" t="s">
        <v>94</v>
      </c>
      <c r="K19" s="58" t="s">
        <v>95</v>
      </c>
      <c r="N19" s="52"/>
      <c r="O19" s="53"/>
      <c r="P19" s="53"/>
      <c r="Q19" s="53"/>
      <c r="R19" s="53"/>
      <c r="S19" s="53"/>
    </row>
    <row r="20" spans="2:19" ht="53.25" customHeight="1" x14ac:dyDescent="0.2">
      <c r="C20" s="59" t="s">
        <v>49</v>
      </c>
      <c r="D20" s="60" t="str">
        <f>"Actual Charge
("&amp;F8&amp;" True-Up)"</f>
        <v>Actual Charge
(2021 True-Up)</v>
      </c>
      <c r="E20" s="61" t="str">
        <f>"Invoiced for
CY"&amp;F8&amp;" Transmission Service"</f>
        <v>Invoiced for
CY2021 Transmission Service</v>
      </c>
      <c r="F20" s="60" t="s">
        <v>101</v>
      </c>
      <c r="G20" s="62" t="s">
        <v>102</v>
      </c>
      <c r="H20" s="62" t="s">
        <v>99</v>
      </c>
      <c r="I20" s="60" t="s">
        <v>103</v>
      </c>
      <c r="J20" s="63" t="s">
        <v>100</v>
      </c>
      <c r="K20" s="64" t="s">
        <v>104</v>
      </c>
      <c r="N20" s="52"/>
      <c r="O20" s="53"/>
      <c r="P20" s="53"/>
      <c r="Q20" s="53"/>
      <c r="R20" s="53"/>
      <c r="S20" s="53"/>
    </row>
    <row r="21" spans="2:19" x14ac:dyDescent="0.2">
      <c r="B21" s="65"/>
      <c r="C21" s="66" t="s">
        <v>14</v>
      </c>
      <c r="D21" s="67">
        <f>GETPIVOTDATA("Sum of "&amp;T(Transactions!$J$19),Pivot!$A$3,"Customer",C21)</f>
        <v>132729.82927383509</v>
      </c>
      <c r="E21" s="67">
        <f>GETPIVOTDATA("Sum of "&amp;T(Transactions!$K$19),Pivot!$A$3,"Customer",C21)</f>
        <v>187461.37073665726</v>
      </c>
      <c r="F21" s="67">
        <f>D21-E21</f>
        <v>-54731.541462822177</v>
      </c>
      <c r="G21" s="53">
        <f>+GETPIVOTDATA("Sum of "&amp;T(Transactions!$M$19),Pivot!$A$3,"Customer","AECC")</f>
        <v>-1744.6450134913384</v>
      </c>
      <c r="H21" s="53">
        <f>GETPIVOTDATA("Sum of "&amp;T(Transactions!$Q$19),Pivot!$A$3,"Customer","AECC")</f>
        <v>0</v>
      </c>
      <c r="I21" s="68">
        <f>F21+G21-H21</f>
        <v>-56476.186476313516</v>
      </c>
      <c r="J21" s="69">
        <v>0</v>
      </c>
      <c r="K21" s="70">
        <f>I21+J21</f>
        <v>-56476.186476313516</v>
      </c>
      <c r="L21" s="65"/>
      <c r="N21" s="52"/>
      <c r="O21" s="53"/>
      <c r="P21" s="53"/>
      <c r="Q21" s="53"/>
      <c r="R21" s="53"/>
      <c r="S21" s="53"/>
    </row>
    <row r="22" spans="2:19" x14ac:dyDescent="0.2">
      <c r="B22" s="65"/>
      <c r="C22" s="71" t="s">
        <v>82</v>
      </c>
      <c r="D22" s="67">
        <f>GETPIVOTDATA("Sum of "&amp;T(Transactions!$J$19),Pivot!$A$3,"Customer",C22)</f>
        <v>6953.4210769903684</v>
      </c>
      <c r="E22" s="67">
        <f>GETPIVOTDATA("Sum of "&amp;T(Transactions!$K$19),Pivot!$A$3,"Customer",C22)</f>
        <v>9820.6850225997787</v>
      </c>
      <c r="F22" s="67">
        <f>D22-E22</f>
        <v>-2867.2639456094103</v>
      </c>
      <c r="G22" s="53">
        <f>+GETPIVOTDATA("Sum of "&amp;T(Transactions!$M$19),Pivot!$A$3,"Customer","AECI")</f>
        <v>-91.398078902435827</v>
      </c>
      <c r="H22" s="53">
        <f>GETPIVOTDATA("Sum of "&amp;T(Transactions!$Q$19),Pivot!$A$3,"Customer",C22)</f>
        <v>0</v>
      </c>
      <c r="I22" s="68">
        <f t="shared" ref="I22:I33" si="0">F22+G22-H22</f>
        <v>-2958.6620245118461</v>
      </c>
      <c r="J22" s="69">
        <v>0</v>
      </c>
      <c r="K22" s="70">
        <f t="shared" ref="K22:K39" si="1">I22+J22</f>
        <v>-2958.6620245118461</v>
      </c>
      <c r="L22" s="65"/>
      <c r="N22" s="52"/>
      <c r="O22" s="53"/>
      <c r="P22" s="53"/>
      <c r="Q22" s="53"/>
      <c r="R22" s="53"/>
      <c r="S22" s="53"/>
    </row>
    <row r="23" spans="2:19" x14ac:dyDescent="0.2">
      <c r="B23" s="65"/>
      <c r="C23" s="71" t="s">
        <v>53</v>
      </c>
      <c r="D23" s="67">
        <f>GETPIVOTDATA("Sum of "&amp;T(Transactions!$J$19),Pivot!$A$3,"Customer",C23)</f>
        <v>20904.179574615257</v>
      </c>
      <c r="E23" s="67">
        <f>GETPIVOTDATA("Sum of "&amp;T(Transactions!$K$19),Pivot!$A$3,"Customer",C23)</f>
        <v>29524.080446889446</v>
      </c>
      <c r="F23" s="67">
        <f t="shared" ref="F23:F35" si="2">D23-E23</f>
        <v>-8619.9008722741892</v>
      </c>
      <c r="G23" s="53">
        <f>+GETPIVOTDATA("Sum of "&amp;T(Transactions!$M$19),Pivot!$A$3,"Customer","Bentonville, AR")</f>
        <v>-274.77148773195444</v>
      </c>
      <c r="H23" s="53">
        <f>GETPIVOTDATA("Sum of "&amp;T(Transactions!$Q$19),Pivot!$A$3,"Customer",C23)</f>
        <v>0</v>
      </c>
      <c r="I23" s="68">
        <f t="shared" si="0"/>
        <v>-8894.6723600061432</v>
      </c>
      <c r="J23" s="69">
        <v>0</v>
      </c>
      <c r="K23" s="70">
        <f t="shared" si="1"/>
        <v>-8894.6723600061432</v>
      </c>
      <c r="L23" s="65"/>
      <c r="N23" s="52"/>
      <c r="O23" s="53"/>
      <c r="P23" s="53"/>
      <c r="Q23" s="53"/>
      <c r="R23" s="53"/>
      <c r="S23" s="53"/>
    </row>
    <row r="24" spans="2:19" x14ac:dyDescent="0.2">
      <c r="B24" s="65"/>
      <c r="C24" s="66" t="s">
        <v>17</v>
      </c>
      <c r="D24" s="67">
        <f>GETPIVOTDATA("Sum of "&amp;T(Transactions!$J$19),Pivot!$A$3,"Customer",C24)</f>
        <v>18459.503111757593</v>
      </c>
      <c r="E24" s="67">
        <f>GETPIVOTDATA("Sum of "&amp;T(Transactions!$K$19),Pivot!$A$3,"Customer",C24)</f>
        <v>26071.334344206989</v>
      </c>
      <c r="F24" s="67">
        <f t="shared" si="2"/>
        <v>-7611.8312324493963</v>
      </c>
      <c r="G24" s="53">
        <f>+GETPIVOTDATA("Sum of "&amp;T(Transactions!$M$19),Pivot!$A$3,"Customer","Coffeyville, KS")</f>
        <v>-242.63784735994022</v>
      </c>
      <c r="H24" s="53">
        <f>GETPIVOTDATA("Sum of "&amp;T(Transactions!$Q$19),Pivot!$A$3,"Customer",C24)</f>
        <v>0</v>
      </c>
      <c r="I24" s="68">
        <f t="shared" si="0"/>
        <v>-7854.4690798093361</v>
      </c>
      <c r="J24" s="69">
        <v>0</v>
      </c>
      <c r="K24" s="70">
        <f t="shared" si="1"/>
        <v>-7854.4690798093361</v>
      </c>
      <c r="L24" s="65"/>
      <c r="N24" s="52"/>
      <c r="O24" s="53"/>
      <c r="P24" s="53"/>
      <c r="Q24" s="53"/>
      <c r="R24" s="53"/>
      <c r="S24" s="53"/>
    </row>
    <row r="25" spans="2:19" x14ac:dyDescent="0.2">
      <c r="B25" s="65"/>
      <c r="C25" s="71" t="s">
        <v>13</v>
      </c>
      <c r="D25" s="67">
        <f>GETPIVOTDATA("Sum of "&amp;T(Transactions!$J$19),Pivot!$A$3,"Customer",C25)</f>
        <v>146680.58777146001</v>
      </c>
      <c r="E25" s="67">
        <f>GETPIVOTDATA("Sum of "&amp;T(Transactions!$K$19),Pivot!$A$3,"Customer",C25)</f>
        <v>207164.76616094692</v>
      </c>
      <c r="F25" s="67">
        <f t="shared" si="2"/>
        <v>-60484.178389486915</v>
      </c>
      <c r="G25" s="53">
        <f>+GETPIVOTDATA("Sum of "&amp;T(Transactions!$M$19),Pivot!$A$3,"Customer","ETEC")</f>
        <v>-1928.0184223208569</v>
      </c>
      <c r="H25" s="53">
        <f>GETPIVOTDATA("Sum of "&amp;T(Transactions!$Q$19),Pivot!$A$3,"Customer",C25)</f>
        <v>0</v>
      </c>
      <c r="I25" s="68">
        <f t="shared" si="0"/>
        <v>-62412.196811807771</v>
      </c>
      <c r="J25" s="69">
        <v>0</v>
      </c>
      <c r="K25" s="70">
        <f t="shared" si="1"/>
        <v>-62412.196811807771</v>
      </c>
      <c r="L25" s="65"/>
      <c r="N25" s="54"/>
      <c r="O25" s="53"/>
      <c r="P25" s="53"/>
      <c r="Q25" s="53"/>
      <c r="R25" s="53"/>
      <c r="S25" s="53"/>
    </row>
    <row r="26" spans="2:19" x14ac:dyDescent="0.2">
      <c r="B26" s="65"/>
      <c r="C26" s="66" t="s">
        <v>15</v>
      </c>
      <c r="D26" s="67">
        <f>GETPIVOTDATA("Sum of "&amp;T(Transactions!$J$19),Pivot!$A$3,"Customer",C26)</f>
        <v>1595.6271524041058</v>
      </c>
      <c r="E26" s="67">
        <f>GETPIVOTDATA("Sum of "&amp;T(Transactions!$K$19),Pivot!$A$3,"Customer",C26)</f>
        <v>2253.5887736071068</v>
      </c>
      <c r="F26" s="67">
        <f t="shared" si="2"/>
        <v>-657.96162120300096</v>
      </c>
      <c r="G26" s="53">
        <f>+GETPIVOTDATA("Sum of "&amp;T(Transactions!$M$19),Pivot!$A$3,"Customer","Greenbelt")</f>
        <v>-20.973453895506331</v>
      </c>
      <c r="H26" s="53">
        <f>GETPIVOTDATA("Sum of "&amp;T(Transactions!$Q$19),Pivot!$A$3,"Customer",C26)</f>
        <v>0</v>
      </c>
      <c r="I26" s="68">
        <f t="shared" si="0"/>
        <v>-678.93507509850724</v>
      </c>
      <c r="J26" s="69">
        <v>0</v>
      </c>
      <c r="K26" s="70">
        <f t="shared" si="1"/>
        <v>-678.93507509850724</v>
      </c>
      <c r="L26" s="65"/>
      <c r="M26" s="72"/>
      <c r="N26" s="72"/>
      <c r="O26" s="72"/>
      <c r="P26" s="72"/>
      <c r="Q26" s="53"/>
      <c r="R26" s="53"/>
      <c r="S26" s="53"/>
    </row>
    <row r="27" spans="2:19" x14ac:dyDescent="0.2">
      <c r="B27" s="65"/>
      <c r="C27" s="66" t="s">
        <v>56</v>
      </c>
      <c r="D27" s="67">
        <f>GETPIVOTDATA("Sum of "&amp;T(Transactions!$J$19),Pivot!$A$3,"Customer",C27)</f>
        <v>6924.1435145609366</v>
      </c>
      <c r="E27" s="67">
        <f>GETPIVOTDATA("Sum of "&amp;T(Transactions!$K$19),Pivot!$A$3,"Customer",C27)</f>
        <v>9779.3347698730431</v>
      </c>
      <c r="F27" s="67">
        <f t="shared" si="2"/>
        <v>-2855.1912553121065</v>
      </c>
      <c r="G27" s="53">
        <f>+GETPIVOTDATA("Sum of "&amp;T(Transactions!$M$19),Pivot!$A$3,"Customer","Hope, AR")</f>
        <v>-91.013244886004529</v>
      </c>
      <c r="H27" s="53">
        <f>GETPIVOTDATA("Sum of "&amp;T(Transactions!$Q$19),Pivot!$A$3,"Customer",C27)</f>
        <v>0</v>
      </c>
      <c r="I27" s="68">
        <f t="shared" si="0"/>
        <v>-2946.204500198111</v>
      </c>
      <c r="J27" s="69">
        <v>0</v>
      </c>
      <c r="K27" s="70">
        <f t="shared" si="1"/>
        <v>-2946.204500198111</v>
      </c>
      <c r="L27" s="65"/>
      <c r="M27" s="72"/>
      <c r="N27" s="72"/>
      <c r="O27" s="72"/>
      <c r="P27" s="72"/>
      <c r="Q27" s="53"/>
      <c r="R27" s="53"/>
      <c r="S27" s="53"/>
    </row>
    <row r="28" spans="2:19" x14ac:dyDescent="0.2">
      <c r="B28" s="65"/>
      <c r="C28" s="66" t="s">
        <v>16</v>
      </c>
      <c r="D28" s="67">
        <f>GETPIVOTDATA("Sum of "&amp;T(Transactions!$J$19),Pivot!$A$3,"Customer",C28)</f>
        <v>673.38393587696225</v>
      </c>
      <c r="E28" s="67">
        <f>GETPIVOTDATA("Sum of "&amp;T(Transactions!$K$19),Pivot!$A$3,"Customer",C28)</f>
        <v>951.05581271492588</v>
      </c>
      <c r="F28" s="67">
        <f t="shared" si="2"/>
        <v>-277.67187683796362</v>
      </c>
      <c r="G28" s="53">
        <f>+GETPIVOTDATA("Sum of "&amp;T(Transactions!$M$19),Pivot!$A$3,"Customer","Lighthouse")</f>
        <v>-8.851182377920102</v>
      </c>
      <c r="H28" s="53">
        <f>GETPIVOTDATA("Sum of "&amp;T(Transactions!$Q$19),Pivot!$A$3,"Customer",C28)</f>
        <v>0</v>
      </c>
      <c r="I28" s="68">
        <f t="shared" si="0"/>
        <v>-286.52305921588373</v>
      </c>
      <c r="J28" s="69">
        <v>0</v>
      </c>
      <c r="K28" s="70">
        <f t="shared" si="1"/>
        <v>-286.52305921588373</v>
      </c>
      <c r="L28" s="65"/>
      <c r="N28" s="52"/>
      <c r="O28" s="53"/>
      <c r="P28" s="53"/>
      <c r="Q28" s="53"/>
      <c r="R28" s="53"/>
      <c r="S28" s="53"/>
    </row>
    <row r="29" spans="2:19" x14ac:dyDescent="0.2">
      <c r="B29" s="65"/>
      <c r="C29" s="71" t="s">
        <v>55</v>
      </c>
      <c r="D29" s="67">
        <f>GETPIVOTDATA("Sum of "&amp;T(Transactions!$J$19),Pivot!$A$3,"Customer",C29)</f>
        <v>4494.1058329179859</v>
      </c>
      <c r="E29" s="67">
        <f>GETPIVOTDATA("Sum of "&amp;T(Transactions!$K$19),Pivot!$A$3,"Customer",C29)</f>
        <v>6347.2637935539615</v>
      </c>
      <c r="F29" s="67">
        <f t="shared" si="2"/>
        <v>-1853.1579606359755</v>
      </c>
      <c r="G29" s="53">
        <f>+GETPIVOTDATA("Sum of "&amp;T(Transactions!$M$19),Pivot!$A$3,"Customer","Minden, LA")</f>
        <v>-59.072021522205894</v>
      </c>
      <c r="H29" s="53">
        <f>GETPIVOTDATA("Sum of "&amp;T(Transactions!$Q$19),Pivot!$A$3,"Customer",C29)</f>
        <v>0</v>
      </c>
      <c r="I29" s="68">
        <f t="shared" si="0"/>
        <v>-1912.2299821581814</v>
      </c>
      <c r="J29" s="69">
        <v>0</v>
      </c>
      <c r="K29" s="70">
        <f t="shared" si="1"/>
        <v>-1912.2299821581814</v>
      </c>
      <c r="L29" s="65"/>
      <c r="N29" s="52"/>
      <c r="O29" s="53"/>
      <c r="P29" s="53"/>
      <c r="Q29" s="53"/>
      <c r="R29" s="53"/>
      <c r="S29" s="53"/>
    </row>
    <row r="30" spans="2:19" x14ac:dyDescent="0.2">
      <c r="B30" s="65"/>
      <c r="C30" s="71" t="s">
        <v>19</v>
      </c>
      <c r="D30" s="67">
        <f>GETPIVOTDATA("Sum of "&amp;T(Transactions!$J$19),Pivot!$A$3,"Customer",C30)</f>
        <v>7758.5540437997797</v>
      </c>
      <c r="E30" s="67">
        <f>GETPIVOTDATA("Sum of "&amp;T(Transactions!$K$19),Pivot!$A$3,"Customer",C30)</f>
        <v>10957.816972585017</v>
      </c>
      <c r="F30" s="67">
        <f t="shared" si="2"/>
        <v>-3199.2629287852369</v>
      </c>
      <c r="G30" s="53">
        <f>+GETPIVOTDATA("Sum of "&amp;T(Transactions!$M$19),Pivot!$A$3,"Customer","OG&amp;E")</f>
        <v>-101.98101435429683</v>
      </c>
      <c r="H30" s="53">
        <f>GETPIVOTDATA("Sum of "&amp;T(Transactions!$Q$19),Pivot!$A$3,"Customer",C30)</f>
        <v>0</v>
      </c>
      <c r="I30" s="68">
        <f t="shared" si="0"/>
        <v>-3301.2439431395337</v>
      </c>
      <c r="J30" s="69">
        <v>0</v>
      </c>
      <c r="K30" s="70">
        <f t="shared" si="1"/>
        <v>-3301.2439431395337</v>
      </c>
      <c r="L30" s="65"/>
    </row>
    <row r="31" spans="2:19" x14ac:dyDescent="0.2">
      <c r="B31" s="65"/>
      <c r="C31" s="66" t="s">
        <v>8</v>
      </c>
      <c r="D31" s="67">
        <f>GETPIVOTDATA("Sum of "&amp;T(Transactions!$J$19),Pivot!$A$3,"Customer",C31)</f>
        <v>18239.921393536839</v>
      </c>
      <c r="E31" s="67">
        <f>GETPIVOTDATA("Sum of "&amp;T(Transactions!$K$19),Pivot!$A$3,"Customer",C31)</f>
        <v>25761.207448756471</v>
      </c>
      <c r="F31" s="67">
        <f t="shared" si="2"/>
        <v>-7521.2860552196325</v>
      </c>
      <c r="G31" s="53">
        <f>+GETPIVOTDATA("Sum of "&amp;T(Transactions!$M$19),Pivot!$A$3,"Customer","OMPA")</f>
        <v>-239.75159223670539</v>
      </c>
      <c r="H31" s="53">
        <f>GETPIVOTDATA("Sum of "&amp;T(Transactions!$Q$19),Pivot!$A$3,"Customer",C31)</f>
        <v>0</v>
      </c>
      <c r="I31" s="68">
        <f t="shared" si="0"/>
        <v>-7761.0376474563382</v>
      </c>
      <c r="J31" s="69">
        <v>0</v>
      </c>
      <c r="K31" s="70">
        <f t="shared" si="1"/>
        <v>-7761.0376474563382</v>
      </c>
      <c r="L31" s="65"/>
    </row>
    <row r="32" spans="2:19" x14ac:dyDescent="0.2">
      <c r="B32" s="65"/>
      <c r="C32" s="66" t="s">
        <v>54</v>
      </c>
      <c r="D32" s="67">
        <f>GETPIVOTDATA("Sum of "&amp;T(Transactions!$J$19),Pivot!$A$3,"Customer",C32)</f>
        <v>1859.1252142690043</v>
      </c>
      <c r="E32" s="67">
        <f>GETPIVOTDATA("Sum of "&amp;T(Transactions!$K$19),Pivot!$A$3,"Customer",C32)</f>
        <v>2625.74104814773</v>
      </c>
      <c r="F32" s="67">
        <f t="shared" si="2"/>
        <v>-766.61583387872565</v>
      </c>
      <c r="G32" s="53">
        <f>+GETPIVOTDATA("Sum of "&amp;T(Transactions!$M$19),Pivot!$A$3,"Customer","Prescott, AR")</f>
        <v>-24.436960043388108</v>
      </c>
      <c r="H32" s="53">
        <f>GETPIVOTDATA("Sum of "&amp;T(Transactions!$Q$19),Pivot!$A$3,"Customer",C32)</f>
        <v>0</v>
      </c>
      <c r="I32" s="68">
        <f t="shared" si="0"/>
        <v>-791.05279392211378</v>
      </c>
      <c r="J32" s="69">
        <v>0</v>
      </c>
      <c r="K32" s="70">
        <f t="shared" si="1"/>
        <v>-791.05279392211378</v>
      </c>
      <c r="L32" s="65"/>
    </row>
    <row r="33" spans="2:13" x14ac:dyDescent="0.2">
      <c r="B33" s="65"/>
      <c r="C33" s="73" t="s">
        <v>9</v>
      </c>
      <c r="D33" s="67">
        <f>GETPIVOTDATA("Sum of "&amp;T(Transactions!$J$19),Pivot!$A$3,"Customer",C33)</f>
        <v>7231.5579200699831</v>
      </c>
      <c r="E33" s="67">
        <f>GETPIVOTDATA("Sum of "&amp;T(Transactions!$K$19),Pivot!$A$3,"Customer",C33)</f>
        <v>10213.512423503769</v>
      </c>
      <c r="F33" s="67">
        <f t="shared" si="2"/>
        <v>-2981.9545034337862</v>
      </c>
      <c r="G33" s="53">
        <f>+GETPIVOTDATA("Sum of "&amp;T(Transactions!$M$19),Pivot!$A$3,"Customer","WFEC")</f>
        <v>-95.054002058533257</v>
      </c>
      <c r="H33" s="53">
        <f>GETPIVOTDATA("Sum of "&amp;T(Transactions!$Q$19),Pivot!$A$3,"Customer",C33)</f>
        <v>0</v>
      </c>
      <c r="I33" s="68">
        <f t="shared" si="0"/>
        <v>-3077.0085054923193</v>
      </c>
      <c r="J33" s="69">
        <v>0</v>
      </c>
      <c r="K33" s="70">
        <f t="shared" si="1"/>
        <v>-3077.0085054923193</v>
      </c>
      <c r="L33" s="65"/>
    </row>
    <row r="34" spans="2:13" ht="24" x14ac:dyDescent="0.2">
      <c r="C34" s="74" t="s">
        <v>42</v>
      </c>
      <c r="D34" s="75">
        <f t="shared" ref="D34:J34" si="3">SUM(D21:D33)</f>
        <v>374503.93981609383</v>
      </c>
      <c r="E34" s="75">
        <f t="shared" si="3"/>
        <v>528931.75775404251</v>
      </c>
      <c r="F34" s="75">
        <f t="shared" si="3"/>
        <v>-154427.81793794848</v>
      </c>
      <c r="G34" s="76">
        <f t="shared" si="3"/>
        <v>-4922.6043211810875</v>
      </c>
      <c r="H34" s="76">
        <f t="shared" si="3"/>
        <v>0</v>
      </c>
      <c r="I34" s="77">
        <f t="shared" si="3"/>
        <v>-159350.42225912958</v>
      </c>
      <c r="J34" s="78">
        <f t="shared" si="3"/>
        <v>0</v>
      </c>
      <c r="K34" s="79">
        <f t="shared" si="1"/>
        <v>-159350.42225912958</v>
      </c>
    </row>
    <row r="35" spans="2:13" x14ac:dyDescent="0.2">
      <c r="C35" s="80" t="s">
        <v>21</v>
      </c>
      <c r="D35" s="67">
        <f>GETPIVOTDATA("Sum of "&amp;T(Transactions!$J$19),Pivot!$A$3,"Customer",C35)</f>
        <v>532602.7769350328</v>
      </c>
      <c r="E35" s="67">
        <f>GETPIVOTDATA("Sum of "&amp;T(Transactions!$K$19),Pivot!$A$3,"Customer",C35)</f>
        <v>752223.12247841619</v>
      </c>
      <c r="F35" s="67">
        <f t="shared" si="2"/>
        <v>-219620.34554338339</v>
      </c>
      <c r="G35" s="53">
        <f>+GETPIVOTDATA("Sum of "&amp;T(Transactions!$M$19),Pivot!$A$3,"Customer","PSO")</f>
        <v>-7000.7080099101531</v>
      </c>
      <c r="H35" s="53">
        <f>GETPIVOTDATA("Sum of "&amp;T(Transactions!$Q$19),Pivot!$A$3,"Customer",C35)</f>
        <v>0</v>
      </c>
      <c r="I35" s="68">
        <f>F35+G35-H35</f>
        <v>-226621.05355329355</v>
      </c>
      <c r="J35" s="69">
        <v>0</v>
      </c>
      <c r="K35" s="70">
        <f t="shared" si="1"/>
        <v>-226621.05355329355</v>
      </c>
    </row>
    <row r="36" spans="2:13" x14ac:dyDescent="0.2">
      <c r="C36" s="81" t="s">
        <v>22</v>
      </c>
      <c r="D36" s="67">
        <f>GETPIVOTDATA("Sum of "&amp;T(Transactions!$J$19),Pivot!$A$3,"Customer",C36)</f>
        <v>509473.50261578069</v>
      </c>
      <c r="E36" s="67">
        <f>GETPIVOTDATA("Sum of "&amp;T(Transactions!$K$19),Pivot!$A$3,"Customer",C36)</f>
        <v>719556.42282429489</v>
      </c>
      <c r="F36" s="67">
        <f>D36-E36</f>
        <v>-210082.9202085142</v>
      </c>
      <c r="G36" s="53">
        <f>+GETPIVOTDATA("Sum of "&amp;T(Transactions!$M$19),Pivot!$A$3,"Customer","SWEPCO")</f>
        <v>-6696.6891369294199</v>
      </c>
      <c r="H36" s="53">
        <f>GETPIVOTDATA("Sum of "&amp;T(Transactions!$Q$19),Pivot!$A$3,"Customer",C36)</f>
        <v>0</v>
      </c>
      <c r="I36" s="68">
        <f>F36+G36-H36</f>
        <v>-216779.60934544363</v>
      </c>
      <c r="J36" s="69">
        <v>0</v>
      </c>
      <c r="K36" s="70">
        <f t="shared" si="1"/>
        <v>-216779.60934544363</v>
      </c>
    </row>
    <row r="37" spans="2:13" x14ac:dyDescent="0.2">
      <c r="C37" s="82" t="s">
        <v>80</v>
      </c>
      <c r="D37" s="67">
        <f>GETPIVOTDATA("Sum of "&amp;T(Transactions!$J$19),Pivot!$A$3,"Customer",C37)</f>
        <v>22573.000633092946</v>
      </c>
      <c r="E37" s="67">
        <f>GETPIVOTDATA("Sum of "&amp;T(Transactions!$K$19),Pivot!$A$3,"Customer",C37)</f>
        <v>31881.044852313393</v>
      </c>
      <c r="F37" s="67">
        <f>D37-E37</f>
        <v>-9308.0442192204464</v>
      </c>
      <c r="G37" s="53">
        <f>+GETPIVOTDATA("Sum of "&amp;T(Transactions!$M$19),Pivot!$A$3,"Customer","SWEPCO-Valley")</f>
        <v>-296.70702666853907</v>
      </c>
      <c r="H37" s="53">
        <f>GETPIVOTDATA("Sum of "&amp;T(Transactions!$Q$19),Pivot!$A$3,"Customer",C37)</f>
        <v>0</v>
      </c>
      <c r="I37" s="68">
        <f>F37+G37-H37</f>
        <v>-9604.7512458889851</v>
      </c>
      <c r="J37" s="69">
        <v>0</v>
      </c>
      <c r="K37" s="70">
        <f t="shared" si="1"/>
        <v>-9604.7512458889851</v>
      </c>
    </row>
    <row r="38" spans="2:13" ht="24" x14ac:dyDescent="0.2">
      <c r="C38" s="83" t="s">
        <v>50</v>
      </c>
      <c r="D38" s="84">
        <f t="shared" ref="D38:I38" si="4">SUM(D35:D37)</f>
        <v>1064649.2801839064</v>
      </c>
      <c r="E38" s="84">
        <f t="shared" si="4"/>
        <v>1503660.5901550243</v>
      </c>
      <c r="F38" s="84">
        <f t="shared" si="4"/>
        <v>-439011.30997111805</v>
      </c>
      <c r="G38" s="85">
        <f t="shared" si="4"/>
        <v>-13994.104173508111</v>
      </c>
      <c r="H38" s="85">
        <f t="shared" si="4"/>
        <v>0</v>
      </c>
      <c r="I38" s="86">
        <f t="shared" si="4"/>
        <v>-453005.41414462618</v>
      </c>
      <c r="J38" s="87">
        <f>SUM(J35:J37)</f>
        <v>0</v>
      </c>
      <c r="K38" s="88">
        <f t="shared" si="1"/>
        <v>-453005.41414462618</v>
      </c>
      <c r="M38" s="89"/>
    </row>
    <row r="39" spans="2:13" ht="23.25" customHeight="1" thickBot="1" x14ac:dyDescent="0.25">
      <c r="C39" s="90" t="s">
        <v>43</v>
      </c>
      <c r="D39" s="91">
        <f t="shared" ref="D39:I39" si="5">SUM(D34,D38)</f>
        <v>1439153.2200000002</v>
      </c>
      <c r="E39" s="92">
        <f t="shared" si="5"/>
        <v>2032592.3479090668</v>
      </c>
      <c r="F39" s="91">
        <f t="shared" si="5"/>
        <v>-593439.1279090665</v>
      </c>
      <c r="G39" s="92">
        <f t="shared" si="5"/>
        <v>-18916.708494689199</v>
      </c>
      <c r="H39" s="92">
        <f t="shared" si="5"/>
        <v>0</v>
      </c>
      <c r="I39" s="93">
        <f t="shared" si="5"/>
        <v>-612355.8364037557</v>
      </c>
      <c r="J39" s="94">
        <f>SUM(J34,J38)</f>
        <v>0</v>
      </c>
      <c r="K39" s="95">
        <f t="shared" si="1"/>
        <v>-612355.8364037557</v>
      </c>
      <c r="M39" s="89"/>
    </row>
    <row r="40" spans="2:13" x14ac:dyDescent="0.2">
      <c r="E40" s="52"/>
      <c r="F40" s="52"/>
      <c r="G40" s="52"/>
      <c r="H40" s="52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87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3"/>
  <sheetViews>
    <sheetView zoomScale="85"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D30" sqref="D30"/>
    </sheetView>
  </sheetViews>
  <sheetFormatPr defaultColWidth="8.7109375" defaultRowHeight="12.75" x14ac:dyDescent="0.2"/>
  <cols>
    <col min="1" max="1" width="19.140625" style="1" customWidth="1"/>
    <col min="2" max="2" width="28.5703125" style="1" bestFit="1" customWidth="1"/>
    <col min="3" max="14" width="15.42578125" style="1" bestFit="1" customWidth="1"/>
    <col min="15" max="15" width="10.5703125" style="1" bestFit="1" customWidth="1"/>
    <col min="16" max="16384" width="8.7109375" style="1"/>
  </cols>
  <sheetData>
    <row r="3" spans="1:15" x14ac:dyDescent="0.2">
      <c r="A3" s="97"/>
      <c r="B3" s="98"/>
      <c r="C3" s="99" t="s">
        <v>52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100"/>
    </row>
    <row r="4" spans="1:15" x14ac:dyDescent="0.2">
      <c r="A4" s="99" t="s">
        <v>0</v>
      </c>
      <c r="B4" s="99" t="s">
        <v>24</v>
      </c>
      <c r="C4" s="101">
        <v>44197</v>
      </c>
      <c r="D4" s="102">
        <v>44228</v>
      </c>
      <c r="E4" s="102">
        <v>44256</v>
      </c>
      <c r="F4" s="102">
        <v>44287</v>
      </c>
      <c r="G4" s="102">
        <v>44317</v>
      </c>
      <c r="H4" s="102">
        <v>44348</v>
      </c>
      <c r="I4" s="102">
        <v>44378</v>
      </c>
      <c r="J4" s="102">
        <v>44409</v>
      </c>
      <c r="K4" s="102">
        <v>44440</v>
      </c>
      <c r="L4" s="102">
        <v>44470</v>
      </c>
      <c r="M4" s="102">
        <v>44501</v>
      </c>
      <c r="N4" s="102">
        <v>44531</v>
      </c>
      <c r="O4" s="103" t="s">
        <v>18</v>
      </c>
    </row>
    <row r="5" spans="1:15" x14ac:dyDescent="0.2">
      <c r="A5" s="97" t="s">
        <v>14</v>
      </c>
      <c r="B5" s="97" t="s">
        <v>69</v>
      </c>
      <c r="C5" s="104">
        <v>11227.945191687606</v>
      </c>
      <c r="D5" s="105">
        <v>15546.385650028993</v>
      </c>
      <c r="E5" s="105">
        <v>8768.6299476152235</v>
      </c>
      <c r="F5" s="105">
        <v>6543.5352029783053</v>
      </c>
      <c r="G5" s="105">
        <v>8827.1850724740889</v>
      </c>
      <c r="H5" s="105">
        <v>12296.576220361916</v>
      </c>
      <c r="I5" s="105">
        <v>13555.511404827541</v>
      </c>
      <c r="J5" s="105">
        <v>13804.370685477721</v>
      </c>
      <c r="K5" s="105">
        <v>13365.207249036224</v>
      </c>
      <c r="L5" s="105">
        <v>9969.0100072219811</v>
      </c>
      <c r="M5" s="105">
        <v>9544.4853519952012</v>
      </c>
      <c r="N5" s="105">
        <v>9280.9872901303024</v>
      </c>
      <c r="O5" s="106">
        <v>132729.82927383509</v>
      </c>
    </row>
    <row r="6" spans="1:15" x14ac:dyDescent="0.2">
      <c r="A6" s="233"/>
      <c r="B6" s="107" t="s">
        <v>25</v>
      </c>
      <c r="C6" s="243">
        <v>-4629.8767290156156</v>
      </c>
      <c r="D6" s="244">
        <v>-6410.598547867774</v>
      </c>
      <c r="E6" s="244">
        <v>-3615.7707440421818</v>
      </c>
      <c r="F6" s="244">
        <v>-2698.2462814471701</v>
      </c>
      <c r="G6" s="244">
        <v>-3639.9161246367876</v>
      </c>
      <c r="H6" s="244">
        <v>-5070.5299248671654</v>
      </c>
      <c r="I6" s="244">
        <v>-5589.6556076511861</v>
      </c>
      <c r="J6" s="244">
        <v>-5692.2734751782609</v>
      </c>
      <c r="K6" s="244">
        <v>-5511.1831207187188</v>
      </c>
      <c r="L6" s="244">
        <v>-4110.7510462315968</v>
      </c>
      <c r="M6" s="244">
        <v>-3935.6970369207047</v>
      </c>
      <c r="N6" s="244">
        <v>-3827.0428242449816</v>
      </c>
      <c r="O6" s="245">
        <v>-54731.541462822148</v>
      </c>
    </row>
    <row r="7" spans="1:15" x14ac:dyDescent="0.2">
      <c r="A7" s="233"/>
      <c r="B7" s="107" t="s">
        <v>26</v>
      </c>
      <c r="C7" s="243">
        <v>-147.58384530140691</v>
      </c>
      <c r="D7" s="244">
        <v>-204.34686272502498</v>
      </c>
      <c r="E7" s="244">
        <v>-115.25778792117697</v>
      </c>
      <c r="F7" s="244">
        <v>-86.010402672397504</v>
      </c>
      <c r="G7" s="244">
        <v>-116.0274559540396</v>
      </c>
      <c r="H7" s="244">
        <v>-161.6302869011497</v>
      </c>
      <c r="I7" s="244">
        <v>-178.17814960769596</v>
      </c>
      <c r="J7" s="244">
        <v>-181.4492387473621</v>
      </c>
      <c r="K7" s="244">
        <v>-175.67672850089247</v>
      </c>
      <c r="L7" s="244">
        <v>-131.03598259486066</v>
      </c>
      <c r="M7" s="244">
        <v>-125.45588935660666</v>
      </c>
      <c r="N7" s="244">
        <v>-121.99238320872489</v>
      </c>
      <c r="O7" s="245">
        <v>-1744.6450134913384</v>
      </c>
    </row>
    <row r="8" spans="1:15" x14ac:dyDescent="0.2">
      <c r="A8" s="233"/>
      <c r="B8" s="107" t="s">
        <v>27</v>
      </c>
      <c r="C8" s="243">
        <v>-4777.4605743170223</v>
      </c>
      <c r="D8" s="244">
        <v>-6614.9454105927989</v>
      </c>
      <c r="E8" s="244">
        <v>-3731.028531963359</v>
      </c>
      <c r="F8" s="244">
        <v>-2784.2566841195676</v>
      </c>
      <c r="G8" s="244">
        <v>-3755.943580590827</v>
      </c>
      <c r="H8" s="244">
        <v>-5232.1602117683151</v>
      </c>
      <c r="I8" s="244">
        <v>-5767.8337572588816</v>
      </c>
      <c r="J8" s="244">
        <v>-5873.7227139256229</v>
      </c>
      <c r="K8" s="244">
        <v>-5686.8598492196115</v>
      </c>
      <c r="L8" s="244">
        <v>-4241.7870288264576</v>
      </c>
      <c r="M8" s="244">
        <v>-4061.1529262773115</v>
      </c>
      <c r="N8" s="244">
        <v>-3949.0352074537063</v>
      </c>
      <c r="O8" s="245">
        <v>-56476.186476313487</v>
      </c>
    </row>
    <row r="9" spans="1:15" x14ac:dyDescent="0.2">
      <c r="A9" s="233"/>
      <c r="B9" s="107" t="s">
        <v>48</v>
      </c>
      <c r="C9" s="108">
        <v>15857.821920703222</v>
      </c>
      <c r="D9" s="96">
        <v>21956.984197896767</v>
      </c>
      <c r="E9" s="96">
        <v>12384.400691657405</v>
      </c>
      <c r="F9" s="96">
        <v>9241.7814844254754</v>
      </c>
      <c r="G9" s="96">
        <v>12467.101197110876</v>
      </c>
      <c r="H9" s="96">
        <v>17367.106145229081</v>
      </c>
      <c r="I9" s="96">
        <v>19145.167012478727</v>
      </c>
      <c r="J9" s="96">
        <v>19496.644160655982</v>
      </c>
      <c r="K9" s="96">
        <v>18876.390369754943</v>
      </c>
      <c r="L9" s="96">
        <v>14079.761053453578</v>
      </c>
      <c r="M9" s="96">
        <v>13480.182388915906</v>
      </c>
      <c r="N9" s="96">
        <v>13108.030114375284</v>
      </c>
      <c r="O9" s="109">
        <v>187461.37073665726</v>
      </c>
    </row>
    <row r="10" spans="1:15" x14ac:dyDescent="0.2">
      <c r="A10" s="233"/>
      <c r="B10" s="107" t="s">
        <v>86</v>
      </c>
      <c r="C10" s="108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109">
        <v>0</v>
      </c>
    </row>
    <row r="11" spans="1:15" x14ac:dyDescent="0.2">
      <c r="A11" s="233"/>
      <c r="B11" s="107" t="s">
        <v>88</v>
      </c>
      <c r="C11" s="108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109">
        <v>0</v>
      </c>
    </row>
    <row r="12" spans="1:15" x14ac:dyDescent="0.2">
      <c r="A12" s="97" t="s">
        <v>17</v>
      </c>
      <c r="B12" s="97" t="s">
        <v>69</v>
      </c>
      <c r="C12" s="104">
        <v>1376.0454341833572</v>
      </c>
      <c r="D12" s="105">
        <v>1463.8781214716566</v>
      </c>
      <c r="E12" s="105">
        <v>1478.5169026863732</v>
      </c>
      <c r="F12" s="105">
        <v>1434.6005590422235</v>
      </c>
      <c r="G12" s="105">
        <v>1449.2393402569401</v>
      </c>
      <c r="H12" s="105">
        <v>1654.1822772629719</v>
      </c>
      <c r="I12" s="105">
        <v>1698.0986209071216</v>
      </c>
      <c r="J12" s="105">
        <v>1698.0986209071216</v>
      </c>
      <c r="K12" s="105">
        <v>1698.0986209071216</v>
      </c>
      <c r="L12" s="105">
        <v>1537.0720275452395</v>
      </c>
      <c r="M12" s="105">
        <v>1463.8781214716566</v>
      </c>
      <c r="N12" s="105">
        <v>1507.7944651158064</v>
      </c>
      <c r="O12" s="106">
        <v>18459.503111757593</v>
      </c>
    </row>
    <row r="13" spans="1:15" x14ac:dyDescent="0.2">
      <c r="A13" s="233"/>
      <c r="B13" s="107" t="s">
        <v>25</v>
      </c>
      <c r="C13" s="243">
        <v>-567.41644397323057</v>
      </c>
      <c r="D13" s="244">
        <v>-603.63451486513873</v>
      </c>
      <c r="E13" s="244">
        <v>-609.67086001379039</v>
      </c>
      <c r="F13" s="244">
        <v>-591.56182456783608</v>
      </c>
      <c r="G13" s="244">
        <v>-597.59816971648752</v>
      </c>
      <c r="H13" s="244">
        <v>-682.10700179760693</v>
      </c>
      <c r="I13" s="244">
        <v>-700.216037243561</v>
      </c>
      <c r="J13" s="244">
        <v>-700.216037243561</v>
      </c>
      <c r="K13" s="244">
        <v>-700.216037243561</v>
      </c>
      <c r="L13" s="244">
        <v>-633.81624060839567</v>
      </c>
      <c r="M13" s="244">
        <v>-603.63451486513873</v>
      </c>
      <c r="N13" s="244">
        <v>-621.7435503110928</v>
      </c>
      <c r="O13" s="245">
        <v>-7611.8312324494009</v>
      </c>
    </row>
    <row r="14" spans="1:15" x14ac:dyDescent="0.2">
      <c r="A14" s="233"/>
      <c r="B14" s="107" t="s">
        <v>26</v>
      </c>
      <c r="C14" s="243">
        <v>-18.087198772271513</v>
      </c>
      <c r="D14" s="244">
        <v>-19.241700821565441</v>
      </c>
      <c r="E14" s="244">
        <v>-19.434117829781094</v>
      </c>
      <c r="F14" s="244">
        <v>-18.856866805134132</v>
      </c>
      <c r="G14" s="244">
        <v>-19.049283813349788</v>
      </c>
      <c r="H14" s="244">
        <v>-21.743121928368947</v>
      </c>
      <c r="I14" s="244">
        <v>-22.320372953015909</v>
      </c>
      <c r="J14" s="244">
        <v>-22.320372953015909</v>
      </c>
      <c r="K14" s="244">
        <v>-22.320372953015909</v>
      </c>
      <c r="L14" s="244">
        <v>-20.203785862643713</v>
      </c>
      <c r="M14" s="244">
        <v>-19.241700821565441</v>
      </c>
      <c r="N14" s="244">
        <v>-19.818951846212403</v>
      </c>
      <c r="O14" s="245">
        <v>-242.63784735994022</v>
      </c>
    </row>
    <row r="15" spans="1:15" x14ac:dyDescent="0.2">
      <c r="A15" s="233"/>
      <c r="B15" s="107" t="s">
        <v>27</v>
      </c>
      <c r="C15" s="243">
        <v>-585.50364274550213</v>
      </c>
      <c r="D15" s="244">
        <v>-622.8762156867042</v>
      </c>
      <c r="E15" s="244">
        <v>-629.10497784357153</v>
      </c>
      <c r="F15" s="244">
        <v>-610.41869137297022</v>
      </c>
      <c r="G15" s="244">
        <v>-616.64745352983732</v>
      </c>
      <c r="H15" s="244">
        <v>-703.85012372597589</v>
      </c>
      <c r="I15" s="244">
        <v>-722.53641019657687</v>
      </c>
      <c r="J15" s="244">
        <v>-722.53641019657687</v>
      </c>
      <c r="K15" s="244">
        <v>-722.53641019657687</v>
      </c>
      <c r="L15" s="244">
        <v>-654.02002647103939</v>
      </c>
      <c r="M15" s="244">
        <v>-622.8762156867042</v>
      </c>
      <c r="N15" s="244">
        <v>-641.56250215730518</v>
      </c>
      <c r="O15" s="245">
        <v>-7854.4690798093407</v>
      </c>
    </row>
    <row r="16" spans="1:15" x14ac:dyDescent="0.2">
      <c r="A16" s="233"/>
      <c r="B16" s="107" t="s">
        <v>48</v>
      </c>
      <c r="C16" s="108">
        <v>1943.4618781565878</v>
      </c>
      <c r="D16" s="96">
        <v>2067.5126363367954</v>
      </c>
      <c r="E16" s="96">
        <v>2088.1877627001636</v>
      </c>
      <c r="F16" s="96">
        <v>2026.1623836100596</v>
      </c>
      <c r="G16" s="96">
        <v>2046.8375099734276</v>
      </c>
      <c r="H16" s="96">
        <v>2336.2892790605788</v>
      </c>
      <c r="I16" s="96">
        <v>2398.3146581506826</v>
      </c>
      <c r="J16" s="96">
        <v>2398.3146581506826</v>
      </c>
      <c r="K16" s="96">
        <v>2398.3146581506826</v>
      </c>
      <c r="L16" s="96">
        <v>2170.8882681536352</v>
      </c>
      <c r="M16" s="96">
        <v>2067.5126363367954</v>
      </c>
      <c r="N16" s="96">
        <v>2129.5380154268992</v>
      </c>
      <c r="O16" s="109">
        <v>26071.334344206989</v>
      </c>
    </row>
    <row r="17" spans="1:15" x14ac:dyDescent="0.2">
      <c r="A17" s="233"/>
      <c r="B17" s="107" t="s">
        <v>86</v>
      </c>
      <c r="C17" s="108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109">
        <v>0</v>
      </c>
    </row>
    <row r="18" spans="1:15" x14ac:dyDescent="0.2">
      <c r="A18" s="233"/>
      <c r="B18" s="107" t="s">
        <v>88</v>
      </c>
      <c r="C18" s="108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109">
        <v>0</v>
      </c>
    </row>
    <row r="19" spans="1:15" x14ac:dyDescent="0.2">
      <c r="A19" s="97" t="s">
        <v>13</v>
      </c>
      <c r="B19" s="97" t="s">
        <v>69</v>
      </c>
      <c r="C19" s="104">
        <v>14243.53412191922</v>
      </c>
      <c r="D19" s="105">
        <v>19586.689265290766</v>
      </c>
      <c r="E19" s="105">
        <v>11564.637159626087</v>
      </c>
      <c r="F19" s="105">
        <v>8270.9113863148596</v>
      </c>
      <c r="G19" s="105">
        <v>9310.264852559736</v>
      </c>
      <c r="H19" s="105">
        <v>12369.770126435498</v>
      </c>
      <c r="I19" s="105">
        <v>13130.986749600759</v>
      </c>
      <c r="J19" s="105">
        <v>13160.264312030193</v>
      </c>
      <c r="K19" s="105">
        <v>13233.458218103775</v>
      </c>
      <c r="L19" s="105">
        <v>10027.565132080848</v>
      </c>
      <c r="M19" s="105">
        <v>10510.644912166494</v>
      </c>
      <c r="N19" s="105">
        <v>11271.861535331756</v>
      </c>
      <c r="O19" s="106">
        <v>146680.58777146001</v>
      </c>
    </row>
    <row r="20" spans="1:15" x14ac:dyDescent="0.2">
      <c r="A20" s="233"/>
      <c r="B20" s="107" t="s">
        <v>25</v>
      </c>
      <c r="C20" s="243">
        <v>-5873.3638296378012</v>
      </c>
      <c r="D20" s="244">
        <v>-8076.6298088955591</v>
      </c>
      <c r="E20" s="244">
        <v>-4768.7126674345982</v>
      </c>
      <c r="F20" s="244">
        <v>-3410.5350089880358</v>
      </c>
      <c r="G20" s="244">
        <v>-3839.1155145422836</v>
      </c>
      <c r="H20" s="244">
        <v>-5100.7116506104248</v>
      </c>
      <c r="I20" s="244">
        <v>-5414.6015983402958</v>
      </c>
      <c r="J20" s="244">
        <v>-5426.6742886375996</v>
      </c>
      <c r="K20" s="244">
        <v>-5456.8560143808554</v>
      </c>
      <c r="L20" s="244">
        <v>-4134.8964268262007</v>
      </c>
      <c r="M20" s="244">
        <v>-4334.0958167316985</v>
      </c>
      <c r="N20" s="244">
        <v>-4647.9857644615695</v>
      </c>
      <c r="O20" s="245">
        <v>-60484.178389486922</v>
      </c>
    </row>
    <row r="21" spans="1:15" x14ac:dyDescent="0.2">
      <c r="A21" s="233"/>
      <c r="B21" s="107" t="s">
        <v>26</v>
      </c>
      <c r="C21" s="243">
        <v>-187.22174899383171</v>
      </c>
      <c r="D21" s="244">
        <v>-257.45395699254556</v>
      </c>
      <c r="E21" s="244">
        <v>-152.00943649036697</v>
      </c>
      <c r="F21" s="244">
        <v>-108.71560964184474</v>
      </c>
      <c r="G21" s="244">
        <v>-122.37721722515619</v>
      </c>
      <c r="H21" s="244">
        <v>-162.59237194222797</v>
      </c>
      <c r="I21" s="244">
        <v>-172.59805636944199</v>
      </c>
      <c r="J21" s="244">
        <v>-172.9828903858733</v>
      </c>
      <c r="K21" s="244">
        <v>-173.94497542695157</v>
      </c>
      <c r="L21" s="244">
        <v>-131.80565062772325</v>
      </c>
      <c r="M21" s="244">
        <v>-138.15541189883987</v>
      </c>
      <c r="N21" s="244">
        <v>-148.16109632605389</v>
      </c>
      <c r="O21" s="245">
        <v>-1928.0184223208569</v>
      </c>
    </row>
    <row r="22" spans="1:15" x14ac:dyDescent="0.2">
      <c r="A22" s="233"/>
      <c r="B22" s="107" t="s">
        <v>27</v>
      </c>
      <c r="C22" s="243">
        <v>-6060.5855786316333</v>
      </c>
      <c r="D22" s="244">
        <v>-8334.0837658881046</v>
      </c>
      <c r="E22" s="244">
        <v>-4920.7221039249653</v>
      </c>
      <c r="F22" s="244">
        <v>-3519.2506186298806</v>
      </c>
      <c r="G22" s="244">
        <v>-3961.4927317674396</v>
      </c>
      <c r="H22" s="244">
        <v>-5263.3040225526529</v>
      </c>
      <c r="I22" s="244">
        <v>-5587.1996547097378</v>
      </c>
      <c r="J22" s="244">
        <v>-5599.657179023473</v>
      </c>
      <c r="K22" s="244">
        <v>-5630.8009898078071</v>
      </c>
      <c r="L22" s="244">
        <v>-4266.7020774539242</v>
      </c>
      <c r="M22" s="244">
        <v>-4472.2512286305382</v>
      </c>
      <c r="N22" s="244">
        <v>-4796.1468607876232</v>
      </c>
      <c r="O22" s="245">
        <v>-62412.196811807786</v>
      </c>
    </row>
    <row r="23" spans="1:15" x14ac:dyDescent="0.2">
      <c r="A23" s="233"/>
      <c r="B23" s="107" t="s">
        <v>48</v>
      </c>
      <c r="C23" s="108">
        <v>20116.897951557021</v>
      </c>
      <c r="D23" s="96">
        <v>27663.319074186325</v>
      </c>
      <c r="E23" s="96">
        <v>16333.349827060685</v>
      </c>
      <c r="F23" s="96">
        <v>11681.446395302895</v>
      </c>
      <c r="G23" s="96">
        <v>13149.38036710202</v>
      </c>
      <c r="H23" s="96">
        <v>17470.481777045923</v>
      </c>
      <c r="I23" s="96">
        <v>18545.588347941055</v>
      </c>
      <c r="J23" s="96">
        <v>18586.938600667792</v>
      </c>
      <c r="K23" s="96">
        <v>18690.31423248463</v>
      </c>
      <c r="L23" s="96">
        <v>14162.461558907049</v>
      </c>
      <c r="M23" s="96">
        <v>14844.740728898192</v>
      </c>
      <c r="N23" s="96">
        <v>15919.847299793326</v>
      </c>
      <c r="O23" s="109">
        <v>207164.76616094692</v>
      </c>
    </row>
    <row r="24" spans="1:15" x14ac:dyDescent="0.2">
      <c r="A24" s="233"/>
      <c r="B24" s="107" t="s">
        <v>86</v>
      </c>
      <c r="C24" s="108">
        <v>0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109">
        <v>0</v>
      </c>
    </row>
    <row r="25" spans="1:15" x14ac:dyDescent="0.2">
      <c r="A25" s="233"/>
      <c r="B25" s="107" t="s">
        <v>88</v>
      </c>
      <c r="C25" s="108">
        <v>0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109">
        <v>0</v>
      </c>
    </row>
    <row r="26" spans="1:15" x14ac:dyDescent="0.2">
      <c r="A26" s="97" t="s">
        <v>15</v>
      </c>
      <c r="B26" s="97" t="s">
        <v>69</v>
      </c>
      <c r="C26" s="104">
        <v>102.47146850301596</v>
      </c>
      <c r="D26" s="105">
        <v>117.11024971773253</v>
      </c>
      <c r="E26" s="105">
        <v>73.193906073582838</v>
      </c>
      <c r="F26" s="105">
        <v>87.832687288299397</v>
      </c>
      <c r="G26" s="105">
        <v>58.555124858866265</v>
      </c>
      <c r="H26" s="105">
        <v>190.30415579131537</v>
      </c>
      <c r="I26" s="105">
        <v>248.85928065018163</v>
      </c>
      <c r="J26" s="105">
        <v>248.85928065018163</v>
      </c>
      <c r="K26" s="105">
        <v>234.22049943546506</v>
      </c>
      <c r="L26" s="105">
        <v>73.193906073582838</v>
      </c>
      <c r="M26" s="105">
        <v>73.193906073582838</v>
      </c>
      <c r="N26" s="105">
        <v>87.832687288299397</v>
      </c>
      <c r="O26" s="106">
        <v>1595.6271524041058</v>
      </c>
    </row>
    <row r="27" spans="1:15" x14ac:dyDescent="0.2">
      <c r="A27" s="233"/>
      <c r="B27" s="107" t="s">
        <v>25</v>
      </c>
      <c r="C27" s="243">
        <v>-42.254416040559732</v>
      </c>
      <c r="D27" s="244">
        <v>-48.290761189211111</v>
      </c>
      <c r="E27" s="244">
        <v>-30.181725743256933</v>
      </c>
      <c r="F27" s="244">
        <v>-36.21807089190834</v>
      </c>
      <c r="G27" s="244">
        <v>-24.145380594605555</v>
      </c>
      <c r="H27" s="244">
        <v>-78.472486932468058</v>
      </c>
      <c r="I27" s="244">
        <v>-102.6178675270736</v>
      </c>
      <c r="J27" s="244">
        <v>-102.6178675270736</v>
      </c>
      <c r="K27" s="244">
        <v>-96.581522378422221</v>
      </c>
      <c r="L27" s="244">
        <v>-30.181725743256933</v>
      </c>
      <c r="M27" s="244">
        <v>-30.181725743256933</v>
      </c>
      <c r="N27" s="244">
        <v>-36.21807089190834</v>
      </c>
      <c r="O27" s="245">
        <v>-657.96162120300141</v>
      </c>
    </row>
    <row r="28" spans="1:15" x14ac:dyDescent="0.2">
      <c r="A28" s="233"/>
      <c r="B28" s="107" t="s">
        <v>26</v>
      </c>
      <c r="C28" s="243">
        <v>-1.3469190575095809</v>
      </c>
      <c r="D28" s="244">
        <v>-1.5393360657252351</v>
      </c>
      <c r="E28" s="244">
        <v>-0.96208504107827197</v>
      </c>
      <c r="F28" s="244">
        <v>-1.1545020492939264</v>
      </c>
      <c r="G28" s="244">
        <v>-0.76966803286261753</v>
      </c>
      <c r="H28" s="244">
        <v>-2.5014211068035075</v>
      </c>
      <c r="I28" s="244">
        <v>-3.2710891396661248</v>
      </c>
      <c r="J28" s="244">
        <v>-3.2710891396661248</v>
      </c>
      <c r="K28" s="244">
        <v>-3.0786721314504701</v>
      </c>
      <c r="L28" s="244">
        <v>-0.96208504107827197</v>
      </c>
      <c r="M28" s="244">
        <v>-0.96208504107827197</v>
      </c>
      <c r="N28" s="244">
        <v>-1.1545020492939264</v>
      </c>
      <c r="O28" s="245">
        <v>-20.973453895506331</v>
      </c>
    </row>
    <row r="29" spans="1:15" x14ac:dyDescent="0.2">
      <c r="A29" s="233"/>
      <c r="B29" s="107" t="s">
        <v>27</v>
      </c>
      <c r="C29" s="243">
        <v>-43.601335098069313</v>
      </c>
      <c r="D29" s="244">
        <v>-49.830097254936348</v>
      </c>
      <c r="E29" s="244">
        <v>-31.143810784335205</v>
      </c>
      <c r="F29" s="244">
        <v>-37.372572941202264</v>
      </c>
      <c r="G29" s="244">
        <v>-24.915048627468174</v>
      </c>
      <c r="H29" s="244">
        <v>-80.973908039271564</v>
      </c>
      <c r="I29" s="244">
        <v>-105.88895666673973</v>
      </c>
      <c r="J29" s="244">
        <v>-105.88895666673973</v>
      </c>
      <c r="K29" s="244">
        <v>-99.660194509872696</v>
      </c>
      <c r="L29" s="244">
        <v>-31.143810784335205</v>
      </c>
      <c r="M29" s="244">
        <v>-31.143810784335205</v>
      </c>
      <c r="N29" s="244">
        <v>-37.372572941202264</v>
      </c>
      <c r="O29" s="245">
        <v>-678.9350750985077</v>
      </c>
    </row>
    <row r="30" spans="1:15" x14ac:dyDescent="0.2">
      <c r="A30" s="233"/>
      <c r="B30" s="107" t="s">
        <v>48</v>
      </c>
      <c r="C30" s="108">
        <v>144.72588454357569</v>
      </c>
      <c r="D30" s="96">
        <v>165.40101090694364</v>
      </c>
      <c r="E30" s="96">
        <v>103.37563181683977</v>
      </c>
      <c r="F30" s="96">
        <v>124.05075818020774</v>
      </c>
      <c r="G30" s="96">
        <v>82.70050545347182</v>
      </c>
      <c r="H30" s="96">
        <v>268.77664272378343</v>
      </c>
      <c r="I30" s="96">
        <v>351.47714817725523</v>
      </c>
      <c r="J30" s="96">
        <v>351.47714817725523</v>
      </c>
      <c r="K30" s="96">
        <v>330.80202181388728</v>
      </c>
      <c r="L30" s="96">
        <v>103.37563181683977</v>
      </c>
      <c r="M30" s="96">
        <v>103.37563181683977</v>
      </c>
      <c r="N30" s="96">
        <v>124.05075818020774</v>
      </c>
      <c r="O30" s="109">
        <v>2253.5887736071068</v>
      </c>
    </row>
    <row r="31" spans="1:15" x14ac:dyDescent="0.2">
      <c r="A31" s="233"/>
      <c r="B31" s="107" t="s">
        <v>86</v>
      </c>
      <c r="C31" s="108">
        <v>0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109">
        <v>0</v>
      </c>
    </row>
    <row r="32" spans="1:15" x14ac:dyDescent="0.2">
      <c r="A32" s="233"/>
      <c r="B32" s="107" t="s">
        <v>88</v>
      </c>
      <c r="C32" s="108">
        <v>0</v>
      </c>
      <c r="D32" s="96">
        <v>0</v>
      </c>
      <c r="E32" s="96">
        <v>0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109">
        <v>0</v>
      </c>
    </row>
    <row r="33" spans="1:15" x14ac:dyDescent="0.2">
      <c r="A33" s="97" t="s">
        <v>16</v>
      </c>
      <c r="B33" s="97" t="s">
        <v>69</v>
      </c>
      <c r="C33" s="104">
        <v>43.916343644149698</v>
      </c>
      <c r="D33" s="105">
        <v>73.193906073582838</v>
      </c>
      <c r="E33" s="105">
        <v>58.555124858866265</v>
      </c>
      <c r="F33" s="105">
        <v>58.555124858866265</v>
      </c>
      <c r="G33" s="105">
        <v>43.916343644149698</v>
      </c>
      <c r="H33" s="105">
        <v>73.193906073582838</v>
      </c>
      <c r="I33" s="105">
        <v>73.193906073582838</v>
      </c>
      <c r="J33" s="105">
        <v>58.555124858866265</v>
      </c>
      <c r="K33" s="105">
        <v>58.555124858866265</v>
      </c>
      <c r="L33" s="105">
        <v>58.555124858866265</v>
      </c>
      <c r="M33" s="105">
        <v>58.555124858866265</v>
      </c>
      <c r="N33" s="105">
        <v>14.638781214716566</v>
      </c>
      <c r="O33" s="106">
        <v>673.38393587696225</v>
      </c>
    </row>
    <row r="34" spans="1:15" x14ac:dyDescent="0.2">
      <c r="A34" s="233"/>
      <c r="B34" s="107" t="s">
        <v>25</v>
      </c>
      <c r="C34" s="243">
        <v>-18.10903544595417</v>
      </c>
      <c r="D34" s="244">
        <v>-30.181725743256933</v>
      </c>
      <c r="E34" s="244">
        <v>-24.145380594605555</v>
      </c>
      <c r="F34" s="244">
        <v>-24.145380594605555</v>
      </c>
      <c r="G34" s="244">
        <v>-18.10903544595417</v>
      </c>
      <c r="H34" s="244">
        <v>-30.181725743256933</v>
      </c>
      <c r="I34" s="244">
        <v>-30.181725743256933</v>
      </c>
      <c r="J34" s="244">
        <v>-24.145380594605555</v>
      </c>
      <c r="K34" s="244">
        <v>-24.145380594605555</v>
      </c>
      <c r="L34" s="244">
        <v>-24.145380594605555</v>
      </c>
      <c r="M34" s="244">
        <v>-24.145380594605555</v>
      </c>
      <c r="N34" s="244">
        <v>-6.0363451486513888</v>
      </c>
      <c r="O34" s="245">
        <v>-277.67187683796391</v>
      </c>
    </row>
    <row r="35" spans="1:15" x14ac:dyDescent="0.2">
      <c r="A35" s="233"/>
      <c r="B35" s="107" t="s">
        <v>26</v>
      </c>
      <c r="C35" s="243">
        <v>-0.57725102464696321</v>
      </c>
      <c r="D35" s="244">
        <v>-0.96208504107827197</v>
      </c>
      <c r="E35" s="244">
        <v>-0.76966803286261753</v>
      </c>
      <c r="F35" s="244">
        <v>-0.76966803286261753</v>
      </c>
      <c r="G35" s="244">
        <v>-0.57725102464696321</v>
      </c>
      <c r="H35" s="244">
        <v>-0.96208504107827197</v>
      </c>
      <c r="I35" s="244">
        <v>-0.96208504107827197</v>
      </c>
      <c r="J35" s="244">
        <v>-0.76966803286261753</v>
      </c>
      <c r="K35" s="244">
        <v>-0.76966803286261753</v>
      </c>
      <c r="L35" s="244">
        <v>-0.76966803286261753</v>
      </c>
      <c r="M35" s="244">
        <v>-0.76966803286261753</v>
      </c>
      <c r="N35" s="244">
        <v>-0.19241700821565438</v>
      </c>
      <c r="O35" s="245">
        <v>-8.851182377920102</v>
      </c>
    </row>
    <row r="36" spans="1:15" x14ac:dyDescent="0.2">
      <c r="A36" s="233"/>
      <c r="B36" s="107" t="s">
        <v>27</v>
      </c>
      <c r="C36" s="243">
        <v>-18.686286470601132</v>
      </c>
      <c r="D36" s="244">
        <v>-31.143810784335205</v>
      </c>
      <c r="E36" s="244">
        <v>-24.915048627468174</v>
      </c>
      <c r="F36" s="244">
        <v>-24.915048627468174</v>
      </c>
      <c r="G36" s="244">
        <v>-18.686286470601132</v>
      </c>
      <c r="H36" s="244">
        <v>-31.143810784335205</v>
      </c>
      <c r="I36" s="244">
        <v>-31.143810784335205</v>
      </c>
      <c r="J36" s="244">
        <v>-24.915048627468174</v>
      </c>
      <c r="K36" s="244">
        <v>-24.915048627468174</v>
      </c>
      <c r="L36" s="244">
        <v>-24.915048627468174</v>
      </c>
      <c r="M36" s="244">
        <v>-24.915048627468174</v>
      </c>
      <c r="N36" s="244">
        <v>-6.2287621568670435</v>
      </c>
      <c r="O36" s="245">
        <v>-286.52305921588396</v>
      </c>
    </row>
    <row r="37" spans="1:15" x14ac:dyDescent="0.2">
      <c r="A37" s="233"/>
      <c r="B37" s="107" t="s">
        <v>48</v>
      </c>
      <c r="C37" s="108">
        <v>62.025379090103868</v>
      </c>
      <c r="D37" s="96">
        <v>103.37563181683977</v>
      </c>
      <c r="E37" s="96">
        <v>82.70050545347182</v>
      </c>
      <c r="F37" s="96">
        <v>82.70050545347182</v>
      </c>
      <c r="G37" s="96">
        <v>62.025379090103868</v>
      </c>
      <c r="H37" s="96">
        <v>103.37563181683977</v>
      </c>
      <c r="I37" s="96">
        <v>103.37563181683977</v>
      </c>
      <c r="J37" s="96">
        <v>82.70050545347182</v>
      </c>
      <c r="K37" s="96">
        <v>82.70050545347182</v>
      </c>
      <c r="L37" s="96">
        <v>82.70050545347182</v>
      </c>
      <c r="M37" s="96">
        <v>82.70050545347182</v>
      </c>
      <c r="N37" s="96">
        <v>20.675126363367955</v>
      </c>
      <c r="O37" s="109">
        <v>951.05581271492588</v>
      </c>
    </row>
    <row r="38" spans="1:15" x14ac:dyDescent="0.2">
      <c r="A38" s="233"/>
      <c r="B38" s="107" t="s">
        <v>86</v>
      </c>
      <c r="C38" s="108">
        <v>0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109">
        <v>0</v>
      </c>
    </row>
    <row r="39" spans="1:15" x14ac:dyDescent="0.2">
      <c r="A39" s="233"/>
      <c r="B39" s="107" t="s">
        <v>88</v>
      </c>
      <c r="C39" s="108">
        <v>0</v>
      </c>
      <c r="D39" s="96">
        <v>0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109">
        <v>0</v>
      </c>
    </row>
    <row r="40" spans="1:15" x14ac:dyDescent="0.2">
      <c r="A40" s="97" t="s">
        <v>19</v>
      </c>
      <c r="B40" s="97" t="s">
        <v>69</v>
      </c>
      <c r="C40" s="104">
        <v>541.63490494451298</v>
      </c>
      <c r="D40" s="105">
        <v>483.07978008564669</v>
      </c>
      <c r="E40" s="105">
        <v>688.0227170916786</v>
      </c>
      <c r="F40" s="105">
        <v>570.91246737394613</v>
      </c>
      <c r="G40" s="105">
        <v>673.38393587696203</v>
      </c>
      <c r="H40" s="105">
        <v>746.57784195054489</v>
      </c>
      <c r="I40" s="105">
        <v>673.38393587696203</v>
      </c>
      <c r="J40" s="105">
        <v>731.93906073582832</v>
      </c>
      <c r="K40" s="105">
        <v>658.74515466224545</v>
      </c>
      <c r="L40" s="105">
        <v>673.38393587696203</v>
      </c>
      <c r="M40" s="105">
        <v>702.66149830639517</v>
      </c>
      <c r="N40" s="105">
        <v>614.82881101809573</v>
      </c>
      <c r="O40" s="106">
        <v>7758.5540437997797</v>
      </c>
    </row>
    <row r="41" spans="1:15" x14ac:dyDescent="0.2">
      <c r="A41" s="233"/>
      <c r="B41" s="107" t="s">
        <v>25</v>
      </c>
      <c r="C41" s="243">
        <v>-223.34477050010139</v>
      </c>
      <c r="D41" s="244">
        <v>-199.19938990549588</v>
      </c>
      <c r="E41" s="244">
        <v>-283.70822198661529</v>
      </c>
      <c r="F41" s="244">
        <v>-235.41746079740415</v>
      </c>
      <c r="G41" s="244">
        <v>-277.67187683796385</v>
      </c>
      <c r="H41" s="244">
        <v>-307.8536025812208</v>
      </c>
      <c r="I41" s="244">
        <v>-277.67187683796385</v>
      </c>
      <c r="J41" s="244">
        <v>-301.81725743256936</v>
      </c>
      <c r="K41" s="244">
        <v>-271.63553168931253</v>
      </c>
      <c r="L41" s="244">
        <v>-277.67187683796385</v>
      </c>
      <c r="M41" s="244">
        <v>-289.74456713526672</v>
      </c>
      <c r="N41" s="244">
        <v>-253.52649624335834</v>
      </c>
      <c r="O41" s="245">
        <v>-3199.262928785236</v>
      </c>
    </row>
    <row r="42" spans="1:15" x14ac:dyDescent="0.2">
      <c r="A42" s="233"/>
      <c r="B42" s="107" t="s">
        <v>26</v>
      </c>
      <c r="C42" s="243">
        <v>-7.1194293039792127</v>
      </c>
      <c r="D42" s="244">
        <v>-6.3497612711165949</v>
      </c>
      <c r="E42" s="244">
        <v>-9.0435993861357566</v>
      </c>
      <c r="F42" s="244">
        <v>-7.5042633204105211</v>
      </c>
      <c r="G42" s="244">
        <v>-8.851182377920102</v>
      </c>
      <c r="H42" s="244">
        <v>-9.8132674189983753</v>
      </c>
      <c r="I42" s="244">
        <v>-8.851182377920102</v>
      </c>
      <c r="J42" s="244">
        <v>-9.6208504107827206</v>
      </c>
      <c r="K42" s="244">
        <v>-8.6587653697044473</v>
      </c>
      <c r="L42" s="244">
        <v>-8.851182377920102</v>
      </c>
      <c r="M42" s="244">
        <v>-9.2360163943514113</v>
      </c>
      <c r="N42" s="244">
        <v>-8.0815143450574833</v>
      </c>
      <c r="O42" s="245">
        <v>-101.98101435429683</v>
      </c>
    </row>
    <row r="43" spans="1:15" x14ac:dyDescent="0.2">
      <c r="A43" s="233"/>
      <c r="B43" s="107" t="s">
        <v>27</v>
      </c>
      <c r="C43" s="243">
        <v>-230.46419980408061</v>
      </c>
      <c r="D43" s="244">
        <v>-205.54915117661247</v>
      </c>
      <c r="E43" s="244">
        <v>-292.75182137275107</v>
      </c>
      <c r="F43" s="244">
        <v>-242.92172411781468</v>
      </c>
      <c r="G43" s="244">
        <v>-286.52305921588396</v>
      </c>
      <c r="H43" s="244">
        <v>-317.66687000021915</v>
      </c>
      <c r="I43" s="244">
        <v>-286.52305921588396</v>
      </c>
      <c r="J43" s="244">
        <v>-311.4381078433521</v>
      </c>
      <c r="K43" s="244">
        <v>-280.29429705901697</v>
      </c>
      <c r="L43" s="244">
        <v>-286.52305921588396</v>
      </c>
      <c r="M43" s="244">
        <v>-298.98058352961812</v>
      </c>
      <c r="N43" s="244">
        <v>-261.60801058841582</v>
      </c>
      <c r="O43" s="245">
        <v>-3301.2439431395323</v>
      </c>
    </row>
    <row r="44" spans="1:15" x14ac:dyDescent="0.2">
      <c r="A44" s="233"/>
      <c r="B44" s="107" t="s">
        <v>48</v>
      </c>
      <c r="C44" s="108">
        <v>764.97967544461437</v>
      </c>
      <c r="D44" s="96">
        <v>682.27916999114257</v>
      </c>
      <c r="E44" s="96">
        <v>971.73093907829389</v>
      </c>
      <c r="F44" s="96">
        <v>806.32992817135028</v>
      </c>
      <c r="G44" s="96">
        <v>951.05581271492588</v>
      </c>
      <c r="H44" s="96">
        <v>1054.4314445317657</v>
      </c>
      <c r="I44" s="96">
        <v>951.05581271492588</v>
      </c>
      <c r="J44" s="96">
        <v>1033.7563181683977</v>
      </c>
      <c r="K44" s="96">
        <v>930.38068635155798</v>
      </c>
      <c r="L44" s="96">
        <v>951.05581271492588</v>
      </c>
      <c r="M44" s="96">
        <v>992.40606544166189</v>
      </c>
      <c r="N44" s="96">
        <v>868.35530726145407</v>
      </c>
      <c r="O44" s="109">
        <v>10957.816972585017</v>
      </c>
    </row>
    <row r="45" spans="1:15" x14ac:dyDescent="0.2">
      <c r="A45" s="233"/>
      <c r="B45" s="107" t="s">
        <v>86</v>
      </c>
      <c r="C45" s="108"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109">
        <v>0</v>
      </c>
    </row>
    <row r="46" spans="1:15" x14ac:dyDescent="0.2">
      <c r="A46" s="233"/>
      <c r="B46" s="107" t="s">
        <v>88</v>
      </c>
      <c r="C46" s="108"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109">
        <v>0</v>
      </c>
    </row>
    <row r="47" spans="1:15" x14ac:dyDescent="0.2">
      <c r="A47" s="97" t="s">
        <v>8</v>
      </c>
      <c r="B47" s="97" t="s">
        <v>69</v>
      </c>
      <c r="C47" s="104">
        <v>1112.5473723184591</v>
      </c>
      <c r="D47" s="105">
        <v>1449.2393402569401</v>
      </c>
      <c r="E47" s="105">
        <v>966.15956017129338</v>
      </c>
      <c r="F47" s="105">
        <v>980.79834138600995</v>
      </c>
      <c r="G47" s="105">
        <v>1478.5169026863732</v>
      </c>
      <c r="H47" s="105">
        <v>2064.0681512750357</v>
      </c>
      <c r="I47" s="105">
        <v>2122.623276133902</v>
      </c>
      <c r="J47" s="105">
        <v>2181.1784009927683</v>
      </c>
      <c r="K47" s="105">
        <v>2195.8171822074851</v>
      </c>
      <c r="L47" s="105">
        <v>1668.8210584776884</v>
      </c>
      <c r="M47" s="105">
        <v>966.15956017129338</v>
      </c>
      <c r="N47" s="105">
        <v>1053.9922474595928</v>
      </c>
      <c r="O47" s="106">
        <v>18239.921393536839</v>
      </c>
    </row>
    <row r="48" spans="1:15" x14ac:dyDescent="0.2">
      <c r="A48" s="233"/>
      <c r="B48" s="107" t="s">
        <v>25</v>
      </c>
      <c r="C48" s="243">
        <v>-458.76223129750542</v>
      </c>
      <c r="D48" s="244">
        <v>-597.59816971648752</v>
      </c>
      <c r="E48" s="244">
        <v>-398.39877981099175</v>
      </c>
      <c r="F48" s="244">
        <v>-404.43512495964296</v>
      </c>
      <c r="G48" s="244">
        <v>-609.67086001379039</v>
      </c>
      <c r="H48" s="244">
        <v>-851.12466595984597</v>
      </c>
      <c r="I48" s="244">
        <v>-875.27004655445171</v>
      </c>
      <c r="J48" s="244">
        <v>-899.415427149057</v>
      </c>
      <c r="K48" s="244">
        <v>-905.45177229770798</v>
      </c>
      <c r="L48" s="244">
        <v>-688.14334694625859</v>
      </c>
      <c r="M48" s="244">
        <v>-398.39877981099175</v>
      </c>
      <c r="N48" s="244">
        <v>-434.61685070289991</v>
      </c>
      <c r="O48" s="245">
        <v>-7521.2860552196307</v>
      </c>
    </row>
    <row r="49" spans="1:15" x14ac:dyDescent="0.2">
      <c r="A49" s="233"/>
      <c r="B49" s="107" t="s">
        <v>26</v>
      </c>
      <c r="C49" s="243">
        <v>-14.623692624389735</v>
      </c>
      <c r="D49" s="244">
        <v>-19.049283813349788</v>
      </c>
      <c r="E49" s="244">
        <v>-12.69952254223319</v>
      </c>
      <c r="F49" s="244">
        <v>-12.891939550448843</v>
      </c>
      <c r="G49" s="244">
        <v>-19.434117829781094</v>
      </c>
      <c r="H49" s="244">
        <v>-27.13079815840727</v>
      </c>
      <c r="I49" s="244">
        <v>-27.900466191269889</v>
      </c>
      <c r="J49" s="244">
        <v>-28.670134224132504</v>
      </c>
      <c r="K49" s="244">
        <v>-28.86255123234816</v>
      </c>
      <c r="L49" s="244">
        <v>-21.935538936584599</v>
      </c>
      <c r="M49" s="244">
        <v>-12.69952254223319</v>
      </c>
      <c r="N49" s="244">
        <v>-13.854024591527116</v>
      </c>
      <c r="O49" s="245">
        <v>-239.75159223670539</v>
      </c>
    </row>
    <row r="50" spans="1:15" x14ac:dyDescent="0.2">
      <c r="A50" s="233"/>
      <c r="B50" s="107" t="s">
        <v>27</v>
      </c>
      <c r="C50" s="243">
        <v>-473.38592392189514</v>
      </c>
      <c r="D50" s="244">
        <v>-616.64745352983732</v>
      </c>
      <c r="E50" s="244">
        <v>-411.09830235322494</v>
      </c>
      <c r="F50" s="244">
        <v>-417.32706451009182</v>
      </c>
      <c r="G50" s="244">
        <v>-629.10497784357153</v>
      </c>
      <c r="H50" s="244">
        <v>-878.25546411825326</v>
      </c>
      <c r="I50" s="244">
        <v>-903.17051274572157</v>
      </c>
      <c r="J50" s="244">
        <v>-928.08556137318953</v>
      </c>
      <c r="K50" s="244">
        <v>-934.31432353005619</v>
      </c>
      <c r="L50" s="244">
        <v>-710.07888588284322</v>
      </c>
      <c r="M50" s="244">
        <v>-411.09830235322494</v>
      </c>
      <c r="N50" s="244">
        <v>-448.470875294427</v>
      </c>
      <c r="O50" s="245">
        <v>-7761.0376474563363</v>
      </c>
    </row>
    <row r="51" spans="1:15" x14ac:dyDescent="0.2">
      <c r="A51" s="233"/>
      <c r="B51" s="107" t="s">
        <v>48</v>
      </c>
      <c r="C51" s="108">
        <v>1571.3096036159645</v>
      </c>
      <c r="D51" s="96">
        <v>2046.8375099734276</v>
      </c>
      <c r="E51" s="96">
        <v>1364.5583399822851</v>
      </c>
      <c r="F51" s="96">
        <v>1385.2334663456529</v>
      </c>
      <c r="G51" s="96">
        <v>2088.1877627001636</v>
      </c>
      <c r="H51" s="96">
        <v>2915.1928172348817</v>
      </c>
      <c r="I51" s="96">
        <v>2997.8933226883537</v>
      </c>
      <c r="J51" s="96">
        <v>3080.5938281418253</v>
      </c>
      <c r="K51" s="96">
        <v>3101.2689545051931</v>
      </c>
      <c r="L51" s="96">
        <v>2356.964405423947</v>
      </c>
      <c r="M51" s="96">
        <v>1364.5583399822851</v>
      </c>
      <c r="N51" s="96">
        <v>1488.6090981624927</v>
      </c>
      <c r="O51" s="109">
        <v>25761.207448756471</v>
      </c>
    </row>
    <row r="52" spans="1:15" x14ac:dyDescent="0.2">
      <c r="A52" s="233"/>
      <c r="B52" s="107" t="s">
        <v>86</v>
      </c>
      <c r="C52" s="108">
        <v>0</v>
      </c>
      <c r="D52" s="96">
        <v>0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  <c r="N52" s="96">
        <v>0</v>
      </c>
      <c r="O52" s="109">
        <v>0</v>
      </c>
    </row>
    <row r="53" spans="1:15" x14ac:dyDescent="0.2">
      <c r="A53" s="233"/>
      <c r="B53" s="107" t="s">
        <v>88</v>
      </c>
      <c r="C53" s="108">
        <v>0</v>
      </c>
      <c r="D53" s="96">
        <v>0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109">
        <v>0</v>
      </c>
    </row>
    <row r="54" spans="1:15" x14ac:dyDescent="0.2">
      <c r="A54" s="97" t="s">
        <v>21</v>
      </c>
      <c r="B54" s="97" t="s">
        <v>69</v>
      </c>
      <c r="C54" s="104">
        <v>37123.94916052121</v>
      </c>
      <c r="D54" s="105">
        <v>43565.0128949965</v>
      </c>
      <c r="E54" s="105">
        <v>32249.235016020597</v>
      </c>
      <c r="F54" s="105">
        <v>31414.824486781752</v>
      </c>
      <c r="G54" s="105">
        <v>43345.431176775754</v>
      </c>
      <c r="H54" s="105">
        <v>56022.615708720296</v>
      </c>
      <c r="I54" s="105">
        <v>57647.52042355384</v>
      </c>
      <c r="J54" s="105">
        <v>58584.402421295701</v>
      </c>
      <c r="K54" s="105">
        <v>58979.649514093042</v>
      </c>
      <c r="L54" s="105">
        <v>45716.913733559835</v>
      </c>
      <c r="M54" s="105">
        <v>33127.56188890359</v>
      </c>
      <c r="N54" s="105">
        <v>34825.66050981071</v>
      </c>
      <c r="O54" s="106">
        <v>532602.7769350328</v>
      </c>
    </row>
    <row r="55" spans="1:15" x14ac:dyDescent="0.2">
      <c r="A55" s="233"/>
      <c r="B55" s="107" t="s">
        <v>25</v>
      </c>
      <c r="C55" s="243">
        <v>-15308.171296979926</v>
      </c>
      <c r="D55" s="244">
        <v>-17964.163162386532</v>
      </c>
      <c r="E55" s="244">
        <v>-13298.068362479011</v>
      </c>
      <c r="F55" s="244">
        <v>-12953.996689005882</v>
      </c>
      <c r="G55" s="244">
        <v>-17873.617985156758</v>
      </c>
      <c r="H55" s="244">
        <v>-23101.092883888872</v>
      </c>
      <c r="I55" s="244">
        <v>-23771.12719538917</v>
      </c>
      <c r="J55" s="244">
        <v>-24157.453284902862</v>
      </c>
      <c r="K55" s="244">
        <v>-24320.434603916445</v>
      </c>
      <c r="L55" s="244">
        <v>-18851.505899238291</v>
      </c>
      <c r="M55" s="244">
        <v>-13660.249071398095</v>
      </c>
      <c r="N55" s="244">
        <v>-14360.465108641656</v>
      </c>
      <c r="O55" s="245">
        <v>-219620.3455433835</v>
      </c>
    </row>
    <row r="56" spans="1:15" x14ac:dyDescent="0.2">
      <c r="A56" s="233"/>
      <c r="B56" s="107" t="s">
        <v>26</v>
      </c>
      <c r="C56" s="243">
        <v>-487.96953283489955</v>
      </c>
      <c r="D56" s="244">
        <v>-572.63301644978753</v>
      </c>
      <c r="E56" s="244">
        <v>-423.89466909908663</v>
      </c>
      <c r="F56" s="244">
        <v>-412.92689963079437</v>
      </c>
      <c r="G56" s="244">
        <v>-569.7467613265527</v>
      </c>
      <c r="H56" s="244">
        <v>-736.37989044130939</v>
      </c>
      <c r="I56" s="244">
        <v>-757.73817835324701</v>
      </c>
      <c r="J56" s="244">
        <v>-770.05286687904879</v>
      </c>
      <c r="K56" s="244">
        <v>-775.24812610087156</v>
      </c>
      <c r="L56" s="244">
        <v>-600.91831665748873</v>
      </c>
      <c r="M56" s="244">
        <v>-435.4396895920259</v>
      </c>
      <c r="N56" s="244">
        <v>-457.76006254504176</v>
      </c>
      <c r="O56" s="245">
        <v>-7000.7080099101531</v>
      </c>
    </row>
    <row r="57" spans="1:15" x14ac:dyDescent="0.2">
      <c r="A57" s="233"/>
      <c r="B57" s="107" t="s">
        <v>27</v>
      </c>
      <c r="C57" s="243">
        <v>-15796.140829814825</v>
      </c>
      <c r="D57" s="244">
        <v>-18536.796178836321</v>
      </c>
      <c r="E57" s="244">
        <v>-13721.963031578098</v>
      </c>
      <c r="F57" s="244">
        <v>-13366.923588636677</v>
      </c>
      <c r="G57" s="244">
        <v>-18443.364746483312</v>
      </c>
      <c r="H57" s="244">
        <v>-23837.472774330181</v>
      </c>
      <c r="I57" s="244">
        <v>-24528.865373742417</v>
      </c>
      <c r="J57" s="244">
        <v>-24927.506151781912</v>
      </c>
      <c r="K57" s="244">
        <v>-25095.682730017317</v>
      </c>
      <c r="L57" s="244">
        <v>-19452.424215895779</v>
      </c>
      <c r="M57" s="244">
        <v>-14095.68876099012</v>
      </c>
      <c r="N57" s="244">
        <v>-14818.225171186697</v>
      </c>
      <c r="O57" s="245">
        <v>-226621.05355329369</v>
      </c>
    </row>
    <row r="58" spans="1:15" x14ac:dyDescent="0.2">
      <c r="A58" s="233"/>
      <c r="B58" s="107" t="s">
        <v>48</v>
      </c>
      <c r="C58" s="108">
        <v>52432.120457501136</v>
      </c>
      <c r="D58" s="96">
        <v>61529.176057383032</v>
      </c>
      <c r="E58" s="96">
        <v>45547.303378499608</v>
      </c>
      <c r="F58" s="96">
        <v>44368.821175787634</v>
      </c>
      <c r="G58" s="96">
        <v>61219.049161932511</v>
      </c>
      <c r="H58" s="96">
        <v>79123.708592609168</v>
      </c>
      <c r="I58" s="96">
        <v>81418.64761894301</v>
      </c>
      <c r="J58" s="96">
        <v>82741.855706198563</v>
      </c>
      <c r="K58" s="96">
        <v>83300.084118009487</v>
      </c>
      <c r="L58" s="96">
        <v>64568.419632798126</v>
      </c>
      <c r="M58" s="96">
        <v>46787.810960301686</v>
      </c>
      <c r="N58" s="96">
        <v>49186.125618452366</v>
      </c>
      <c r="O58" s="109">
        <v>752223.12247841619</v>
      </c>
    </row>
    <row r="59" spans="1:15" x14ac:dyDescent="0.2">
      <c r="A59" s="233"/>
      <c r="B59" s="107" t="s">
        <v>86</v>
      </c>
      <c r="C59" s="108">
        <v>0</v>
      </c>
      <c r="D59" s="96"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6">
        <v>0</v>
      </c>
      <c r="O59" s="109">
        <v>0</v>
      </c>
    </row>
    <row r="60" spans="1:15" x14ac:dyDescent="0.2">
      <c r="A60" s="233"/>
      <c r="B60" s="107" t="s">
        <v>88</v>
      </c>
      <c r="C60" s="108"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96">
        <v>0</v>
      </c>
      <c r="N60" s="96">
        <v>0</v>
      </c>
      <c r="O60" s="109">
        <v>0</v>
      </c>
    </row>
    <row r="61" spans="1:15" x14ac:dyDescent="0.2">
      <c r="A61" s="97" t="s">
        <v>22</v>
      </c>
      <c r="B61" s="97" t="s">
        <v>69</v>
      </c>
      <c r="C61" s="104">
        <v>40564.062745979601</v>
      </c>
      <c r="D61" s="105">
        <v>45907.217889351152</v>
      </c>
      <c r="E61" s="105">
        <v>34240.109261222045</v>
      </c>
      <c r="F61" s="105">
        <v>35045.242228031457</v>
      </c>
      <c r="G61" s="105">
        <v>41091.058869709399</v>
      </c>
      <c r="H61" s="105">
        <v>48966.72316322691</v>
      </c>
      <c r="I61" s="105">
        <v>51601.703781875898</v>
      </c>
      <c r="J61" s="105">
        <v>51440.677188514012</v>
      </c>
      <c r="K61" s="105">
        <v>51030.791314501948</v>
      </c>
      <c r="L61" s="105">
        <v>40651.895433267906</v>
      </c>
      <c r="M61" s="105">
        <v>33434.976294412634</v>
      </c>
      <c r="N61" s="105">
        <v>35499.044445687672</v>
      </c>
      <c r="O61" s="106">
        <v>509473.50261578069</v>
      </c>
    </row>
    <row r="62" spans="1:15" x14ac:dyDescent="0.2">
      <c r="A62" s="233"/>
      <c r="B62" s="107" t="s">
        <v>25</v>
      </c>
      <c r="C62" s="243">
        <v>-16726.712406913</v>
      </c>
      <c r="D62" s="244">
        <v>-18929.978386170755</v>
      </c>
      <c r="E62" s="244">
        <v>-14119.011302695602</v>
      </c>
      <c r="F62" s="244">
        <v>-14451.010285871431</v>
      </c>
      <c r="G62" s="244">
        <v>-16944.020832264454</v>
      </c>
      <c r="H62" s="244">
        <v>-20191.574522238894</v>
      </c>
      <c r="I62" s="244">
        <v>-21278.116648996147</v>
      </c>
      <c r="J62" s="244">
        <v>-21211.71685236098</v>
      </c>
      <c r="K62" s="244">
        <v>-21042.699188198741</v>
      </c>
      <c r="L62" s="244">
        <v>-16762.930477804905</v>
      </c>
      <c r="M62" s="244">
        <v>-13787.012319519774</v>
      </c>
      <c r="N62" s="244">
        <v>-14638.136985479621</v>
      </c>
      <c r="O62" s="245">
        <v>-210082.92020851432</v>
      </c>
    </row>
    <row r="63" spans="1:15" x14ac:dyDescent="0.2">
      <c r="A63" s="233"/>
      <c r="B63" s="107" t="s">
        <v>26</v>
      </c>
      <c r="C63" s="243">
        <v>-533.18752976557835</v>
      </c>
      <c r="D63" s="244">
        <v>-603.41973776429222</v>
      </c>
      <c r="E63" s="244">
        <v>-450.06338221641562</v>
      </c>
      <c r="F63" s="244">
        <v>-460.64631766827659</v>
      </c>
      <c r="G63" s="244">
        <v>-540.11454206134181</v>
      </c>
      <c r="H63" s="244">
        <v>-643.63489248136398</v>
      </c>
      <c r="I63" s="244">
        <v>-678.26995396018174</v>
      </c>
      <c r="J63" s="244">
        <v>-676.15336686980947</v>
      </c>
      <c r="K63" s="244">
        <v>-670.76569063977126</v>
      </c>
      <c r="L63" s="244">
        <v>-534.34203181487226</v>
      </c>
      <c r="M63" s="244">
        <v>-439.48044676455464</v>
      </c>
      <c r="N63" s="244">
        <v>-466.61124492296193</v>
      </c>
      <c r="O63" s="245">
        <v>-6696.6891369294199</v>
      </c>
    </row>
    <row r="64" spans="1:15" x14ac:dyDescent="0.2">
      <c r="A64" s="233"/>
      <c r="B64" s="107" t="s">
        <v>27</v>
      </c>
      <c r="C64" s="243">
        <v>-17259.899936678579</v>
      </c>
      <c r="D64" s="244">
        <v>-19533.398123935047</v>
      </c>
      <c r="E64" s="244">
        <v>-14569.074684912019</v>
      </c>
      <c r="F64" s="244">
        <v>-14911.656603539708</v>
      </c>
      <c r="G64" s="244">
        <v>-17484.135374325797</v>
      </c>
      <c r="H64" s="244">
        <v>-20835.209414720259</v>
      </c>
      <c r="I64" s="244">
        <v>-21956.386602956329</v>
      </c>
      <c r="J64" s="244">
        <v>-21887.87021923079</v>
      </c>
      <c r="K64" s="244">
        <v>-21713.464878838513</v>
      </c>
      <c r="L64" s="244">
        <v>-17297.272509619776</v>
      </c>
      <c r="M64" s="244">
        <v>-14226.492766284329</v>
      </c>
      <c r="N64" s="244">
        <v>-15104.748230402583</v>
      </c>
      <c r="O64" s="245">
        <v>-216779.60934544372</v>
      </c>
    </row>
    <row r="65" spans="1:15" x14ac:dyDescent="0.2">
      <c r="A65" s="233"/>
      <c r="B65" s="107" t="s">
        <v>48</v>
      </c>
      <c r="C65" s="108">
        <v>57290.775152892602</v>
      </c>
      <c r="D65" s="96">
        <v>64837.196275521907</v>
      </c>
      <c r="E65" s="96">
        <v>48359.120563917648</v>
      </c>
      <c r="F65" s="96">
        <v>49496.252513902888</v>
      </c>
      <c r="G65" s="96">
        <v>58035.079701973853</v>
      </c>
      <c r="H65" s="96">
        <v>69158.297685465805</v>
      </c>
      <c r="I65" s="96">
        <v>72879.820430872045</v>
      </c>
      <c r="J65" s="96">
        <v>72652.394040874991</v>
      </c>
      <c r="K65" s="96">
        <v>72073.49050270069</v>
      </c>
      <c r="L65" s="96">
        <v>57414.82591107281</v>
      </c>
      <c r="M65" s="96">
        <v>47221.988613932408</v>
      </c>
      <c r="N65" s="96">
        <v>50137.181431167293</v>
      </c>
      <c r="O65" s="109">
        <v>719556.42282429489</v>
      </c>
    </row>
    <row r="66" spans="1:15" x14ac:dyDescent="0.2">
      <c r="A66" s="233"/>
      <c r="B66" s="107" t="s">
        <v>86</v>
      </c>
      <c r="C66" s="108">
        <v>0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96">
        <v>0</v>
      </c>
      <c r="O66" s="109">
        <v>0</v>
      </c>
    </row>
    <row r="67" spans="1:15" x14ac:dyDescent="0.2">
      <c r="A67" s="233"/>
      <c r="B67" s="107" t="s">
        <v>88</v>
      </c>
      <c r="C67" s="108">
        <v>0</v>
      </c>
      <c r="D67" s="96">
        <v>0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  <c r="N67" s="96">
        <v>0</v>
      </c>
      <c r="O67" s="109">
        <v>0</v>
      </c>
    </row>
    <row r="68" spans="1:15" x14ac:dyDescent="0.2">
      <c r="A68" s="97" t="s">
        <v>9</v>
      </c>
      <c r="B68" s="97" t="s">
        <v>69</v>
      </c>
      <c r="C68" s="104">
        <v>629.46759223281231</v>
      </c>
      <c r="D68" s="105">
        <v>702.66149830639517</v>
      </c>
      <c r="E68" s="105">
        <v>512.35734251507984</v>
      </c>
      <c r="F68" s="105">
        <v>424.5246552267804</v>
      </c>
      <c r="G68" s="105">
        <v>497.71856130036326</v>
      </c>
      <c r="H68" s="105">
        <v>658.74515466224545</v>
      </c>
      <c r="I68" s="105">
        <v>702.66149830639517</v>
      </c>
      <c r="J68" s="105">
        <v>673.38393587696203</v>
      </c>
      <c r="K68" s="105">
        <v>673.38393587696203</v>
      </c>
      <c r="L68" s="105">
        <v>600.19002980337916</v>
      </c>
      <c r="M68" s="105">
        <v>585.5512485886627</v>
      </c>
      <c r="N68" s="105">
        <v>570.91246737394613</v>
      </c>
      <c r="O68" s="106">
        <v>7231.5579200699831</v>
      </c>
    </row>
    <row r="69" spans="1:15" x14ac:dyDescent="0.2">
      <c r="A69" s="233"/>
      <c r="B69" s="107" t="s">
        <v>25</v>
      </c>
      <c r="C69" s="243">
        <v>-259.56284139200977</v>
      </c>
      <c r="D69" s="244">
        <v>-289.74456713526672</v>
      </c>
      <c r="E69" s="244">
        <v>-211.27208020279863</v>
      </c>
      <c r="F69" s="244">
        <v>-175.05400931089025</v>
      </c>
      <c r="G69" s="244">
        <v>-205.2357350541472</v>
      </c>
      <c r="H69" s="244">
        <v>-271.63553168931253</v>
      </c>
      <c r="I69" s="244">
        <v>-289.74456713526672</v>
      </c>
      <c r="J69" s="244">
        <v>-277.67187683796385</v>
      </c>
      <c r="K69" s="244">
        <v>-277.67187683796385</v>
      </c>
      <c r="L69" s="244">
        <v>-247.49015109470702</v>
      </c>
      <c r="M69" s="244">
        <v>-241.45380594605547</v>
      </c>
      <c r="N69" s="244">
        <v>-235.41746079740415</v>
      </c>
      <c r="O69" s="245">
        <v>-2981.9545034337862</v>
      </c>
    </row>
    <row r="70" spans="1:15" x14ac:dyDescent="0.2">
      <c r="A70" s="233"/>
      <c r="B70" s="107" t="s">
        <v>26</v>
      </c>
      <c r="C70" s="243">
        <v>-8.273931353273138</v>
      </c>
      <c r="D70" s="244">
        <v>-9.2360163943514113</v>
      </c>
      <c r="E70" s="244">
        <v>-6.7345952875479043</v>
      </c>
      <c r="F70" s="244">
        <v>-5.5800932382539772</v>
      </c>
      <c r="G70" s="244">
        <v>-6.5421782793322496</v>
      </c>
      <c r="H70" s="244">
        <v>-8.6587653697044473</v>
      </c>
      <c r="I70" s="244">
        <v>-9.2360163943514113</v>
      </c>
      <c r="J70" s="244">
        <v>-8.851182377920102</v>
      </c>
      <c r="K70" s="244">
        <v>-8.851182377920102</v>
      </c>
      <c r="L70" s="244">
        <v>-7.8890973368418296</v>
      </c>
      <c r="M70" s="244">
        <v>-7.6966803286261758</v>
      </c>
      <c r="N70" s="244">
        <v>-7.5042633204105211</v>
      </c>
      <c r="O70" s="245">
        <v>-95.054002058533257</v>
      </c>
    </row>
    <row r="71" spans="1:15" x14ac:dyDescent="0.2">
      <c r="A71" s="233"/>
      <c r="B71" s="107" t="s">
        <v>27</v>
      </c>
      <c r="C71" s="243">
        <v>-267.83677274528293</v>
      </c>
      <c r="D71" s="244">
        <v>-298.98058352961812</v>
      </c>
      <c r="E71" s="244">
        <v>-218.00667549034654</v>
      </c>
      <c r="F71" s="244">
        <v>-180.63410254914422</v>
      </c>
      <c r="G71" s="244">
        <v>-211.77791333347946</v>
      </c>
      <c r="H71" s="244">
        <v>-280.29429705901697</v>
      </c>
      <c r="I71" s="244">
        <v>-298.98058352961812</v>
      </c>
      <c r="J71" s="244">
        <v>-286.52305921588396</v>
      </c>
      <c r="K71" s="244">
        <v>-286.52305921588396</v>
      </c>
      <c r="L71" s="244">
        <v>-255.37924843154886</v>
      </c>
      <c r="M71" s="244">
        <v>-249.15048627468164</v>
      </c>
      <c r="N71" s="244">
        <v>-242.92172411781468</v>
      </c>
      <c r="O71" s="245">
        <v>-3077.0085054923197</v>
      </c>
    </row>
    <row r="72" spans="1:15" x14ac:dyDescent="0.2">
      <c r="A72" s="233"/>
      <c r="B72" s="107" t="s">
        <v>48</v>
      </c>
      <c r="C72" s="108">
        <v>889.03043362482208</v>
      </c>
      <c r="D72" s="96">
        <v>992.40606544166189</v>
      </c>
      <c r="E72" s="96">
        <v>723.62942271787847</v>
      </c>
      <c r="F72" s="96">
        <v>599.57866453767065</v>
      </c>
      <c r="G72" s="96">
        <v>702.95429635451046</v>
      </c>
      <c r="H72" s="96">
        <v>930.38068635155798</v>
      </c>
      <c r="I72" s="96">
        <v>992.40606544166189</v>
      </c>
      <c r="J72" s="96">
        <v>951.05581271492588</v>
      </c>
      <c r="K72" s="96">
        <v>951.05581271492588</v>
      </c>
      <c r="L72" s="96">
        <v>847.68018089808618</v>
      </c>
      <c r="M72" s="96">
        <v>827.00505453471817</v>
      </c>
      <c r="N72" s="96">
        <v>806.32992817135028</v>
      </c>
      <c r="O72" s="109">
        <v>10213.512423503769</v>
      </c>
    </row>
    <row r="73" spans="1:15" x14ac:dyDescent="0.2">
      <c r="A73" s="233"/>
      <c r="B73" s="107" t="s">
        <v>86</v>
      </c>
      <c r="C73" s="108">
        <v>0</v>
      </c>
      <c r="D73" s="96">
        <v>0</v>
      </c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  <c r="N73" s="96">
        <v>0</v>
      </c>
      <c r="O73" s="109">
        <v>0</v>
      </c>
    </row>
    <row r="74" spans="1:15" x14ac:dyDescent="0.2">
      <c r="A74" s="233"/>
      <c r="B74" s="107" t="s">
        <v>88</v>
      </c>
      <c r="C74" s="108">
        <v>0</v>
      </c>
      <c r="D74" s="96">
        <v>0</v>
      </c>
      <c r="E74" s="96">
        <v>0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96">
        <v>0</v>
      </c>
      <c r="O74" s="109">
        <v>0</v>
      </c>
    </row>
    <row r="75" spans="1:15" x14ac:dyDescent="0.2">
      <c r="A75" s="97" t="s">
        <v>53</v>
      </c>
      <c r="B75" s="97" t="s">
        <v>69</v>
      </c>
      <c r="C75" s="104">
        <v>1522.4332463305229</v>
      </c>
      <c r="D75" s="105">
        <v>1946.9579015573033</v>
      </c>
      <c r="E75" s="105">
        <v>1273.5739656803412</v>
      </c>
      <c r="F75" s="105">
        <v>1127.1861535331757</v>
      </c>
      <c r="G75" s="105">
        <v>1522.4332463305229</v>
      </c>
      <c r="H75" s="105">
        <v>2107.9844949191856</v>
      </c>
      <c r="I75" s="105">
        <v>2356.8437755693672</v>
      </c>
      <c r="J75" s="105">
        <v>2386.1213379988003</v>
      </c>
      <c r="K75" s="105">
        <v>2239.7335258516346</v>
      </c>
      <c r="L75" s="105">
        <v>1712.7374021218382</v>
      </c>
      <c r="M75" s="105">
        <v>1332.1290905392075</v>
      </c>
      <c r="N75" s="105">
        <v>1376.0454341833572</v>
      </c>
      <c r="O75" s="106">
        <v>20904.179574615257</v>
      </c>
    </row>
    <row r="76" spans="1:15" x14ac:dyDescent="0.2">
      <c r="A76" s="233"/>
      <c r="B76" s="107" t="s">
        <v>25</v>
      </c>
      <c r="C76" s="108">
        <v>-627.77989545974447</v>
      </c>
      <c r="D76" s="96">
        <v>-802.83390477063472</v>
      </c>
      <c r="E76" s="96">
        <v>-525.16202793267098</v>
      </c>
      <c r="F76" s="96">
        <v>-464.79857644615686</v>
      </c>
      <c r="G76" s="96">
        <v>-627.77989545974447</v>
      </c>
      <c r="H76" s="96">
        <v>-869.23370140579982</v>
      </c>
      <c r="I76" s="96">
        <v>-971.85156893287376</v>
      </c>
      <c r="J76" s="96">
        <v>-983.92425923017618</v>
      </c>
      <c r="K76" s="96">
        <v>-923.56080774366274</v>
      </c>
      <c r="L76" s="96">
        <v>-706.25238239221267</v>
      </c>
      <c r="M76" s="96">
        <v>-549.30740852727649</v>
      </c>
      <c r="N76" s="96">
        <v>-567.41644397323057</v>
      </c>
      <c r="O76" s="109">
        <v>-8619.9008722741837</v>
      </c>
    </row>
    <row r="77" spans="1:15" x14ac:dyDescent="0.2">
      <c r="A77" s="233"/>
      <c r="B77" s="107" t="s">
        <v>26</v>
      </c>
      <c r="C77" s="108">
        <v>-20.01136885442806</v>
      </c>
      <c r="D77" s="96">
        <v>-25.591462092682033</v>
      </c>
      <c r="E77" s="96">
        <v>-16.740279714761932</v>
      </c>
      <c r="F77" s="96">
        <v>-14.816109632605388</v>
      </c>
      <c r="G77" s="96">
        <v>-20.01136885442806</v>
      </c>
      <c r="H77" s="96">
        <v>-27.708049183054232</v>
      </c>
      <c r="I77" s="96">
        <v>-30.979138322720356</v>
      </c>
      <c r="J77" s="96">
        <v>-31.363972339151665</v>
      </c>
      <c r="K77" s="96">
        <v>-29.439802256995122</v>
      </c>
      <c r="L77" s="96">
        <v>-22.512789961231565</v>
      </c>
      <c r="M77" s="96">
        <v>-17.509947747624551</v>
      </c>
      <c r="N77" s="96">
        <v>-18.087198772271513</v>
      </c>
      <c r="O77" s="109">
        <v>-274.77148773195444</v>
      </c>
    </row>
    <row r="78" spans="1:15" x14ac:dyDescent="0.2">
      <c r="A78" s="233"/>
      <c r="B78" s="107" t="s">
        <v>27</v>
      </c>
      <c r="C78" s="108">
        <v>-647.79126431417251</v>
      </c>
      <c r="D78" s="96">
        <v>-828.42536686331675</v>
      </c>
      <c r="E78" s="96">
        <v>-541.90230764743296</v>
      </c>
      <c r="F78" s="96">
        <v>-479.61468607876225</v>
      </c>
      <c r="G78" s="96">
        <v>-647.79126431417251</v>
      </c>
      <c r="H78" s="96">
        <v>-896.94175058885401</v>
      </c>
      <c r="I78" s="96">
        <v>-1002.8307072555941</v>
      </c>
      <c r="J78" s="96">
        <v>-1015.2882315693279</v>
      </c>
      <c r="K78" s="96">
        <v>-953.00061000065784</v>
      </c>
      <c r="L78" s="96">
        <v>-728.7651723534442</v>
      </c>
      <c r="M78" s="96">
        <v>-566.81735627490104</v>
      </c>
      <c r="N78" s="96">
        <v>-585.50364274550213</v>
      </c>
      <c r="O78" s="109">
        <v>-8894.6723600061378</v>
      </c>
    </row>
    <row r="79" spans="1:15" x14ac:dyDescent="0.2">
      <c r="A79" s="233"/>
      <c r="B79" s="107" t="s">
        <v>48</v>
      </c>
      <c r="C79" s="108">
        <v>2150.2131417902674</v>
      </c>
      <c r="D79" s="96">
        <v>2749.791806327938</v>
      </c>
      <c r="E79" s="96">
        <v>1798.7359936130122</v>
      </c>
      <c r="F79" s="96">
        <v>1591.9847299793325</v>
      </c>
      <c r="G79" s="96">
        <v>2150.2131417902674</v>
      </c>
      <c r="H79" s="96">
        <v>2977.2181963249855</v>
      </c>
      <c r="I79" s="96">
        <v>3328.6953445022409</v>
      </c>
      <c r="J79" s="96">
        <v>3370.0455972289765</v>
      </c>
      <c r="K79" s="96">
        <v>3163.2943335952973</v>
      </c>
      <c r="L79" s="96">
        <v>2418.9897845140508</v>
      </c>
      <c r="M79" s="96">
        <v>1881.436499066484</v>
      </c>
      <c r="N79" s="96">
        <v>1943.4618781565878</v>
      </c>
      <c r="O79" s="109">
        <v>29524.080446889446</v>
      </c>
    </row>
    <row r="80" spans="1:15" x14ac:dyDescent="0.2">
      <c r="A80" s="233"/>
      <c r="B80" s="107" t="s">
        <v>86</v>
      </c>
      <c r="C80" s="108">
        <v>0</v>
      </c>
      <c r="D80" s="96">
        <v>0</v>
      </c>
      <c r="E80" s="96">
        <v>0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0</v>
      </c>
      <c r="O80" s="109">
        <v>0</v>
      </c>
    </row>
    <row r="81" spans="1:15" x14ac:dyDescent="0.2">
      <c r="A81" s="233"/>
      <c r="B81" s="107" t="s">
        <v>88</v>
      </c>
      <c r="C81" s="108">
        <v>0</v>
      </c>
      <c r="D81" s="96">
        <v>0</v>
      </c>
      <c r="E81" s="96">
        <v>0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96">
        <v>0</v>
      </c>
      <c r="M81" s="96">
        <v>0</v>
      </c>
      <c r="N81" s="96">
        <v>0</v>
      </c>
      <c r="O81" s="109">
        <v>0</v>
      </c>
    </row>
    <row r="82" spans="1:15" x14ac:dyDescent="0.2">
      <c r="A82" s="97" t="s">
        <v>54</v>
      </c>
      <c r="B82" s="97" t="s">
        <v>69</v>
      </c>
      <c r="C82" s="104">
        <v>161.02659336188222</v>
      </c>
      <c r="D82" s="105">
        <v>117.11024971773253</v>
      </c>
      <c r="E82" s="105">
        <v>102.47146850301596</v>
      </c>
      <c r="F82" s="105">
        <v>175.66537457659879</v>
      </c>
      <c r="G82" s="105">
        <v>161.02659336188222</v>
      </c>
      <c r="H82" s="105">
        <v>190.30415579131537</v>
      </c>
      <c r="I82" s="105">
        <v>190.30415579131537</v>
      </c>
      <c r="J82" s="105">
        <v>175.66537457659879</v>
      </c>
      <c r="K82" s="105">
        <v>190.30415579131537</v>
      </c>
      <c r="L82" s="105">
        <v>117.11024971773253</v>
      </c>
      <c r="M82" s="105">
        <v>117.11024971773253</v>
      </c>
      <c r="N82" s="105">
        <v>161.02659336188222</v>
      </c>
      <c r="O82" s="106">
        <v>1859.1252142690043</v>
      </c>
    </row>
    <row r="83" spans="1:15" x14ac:dyDescent="0.2">
      <c r="A83" s="233"/>
      <c r="B83" s="107" t="s">
        <v>25</v>
      </c>
      <c r="C83" s="108">
        <v>-66.399796635165274</v>
      </c>
      <c r="D83" s="96">
        <v>-48.290761189211111</v>
      </c>
      <c r="E83" s="96">
        <v>-42.254416040559732</v>
      </c>
      <c r="F83" s="96">
        <v>-72.43614178381668</v>
      </c>
      <c r="G83" s="96">
        <v>-66.399796635165274</v>
      </c>
      <c r="H83" s="96">
        <v>-78.472486932468058</v>
      </c>
      <c r="I83" s="96">
        <v>-78.472486932468058</v>
      </c>
      <c r="J83" s="96">
        <v>-72.43614178381668</v>
      </c>
      <c r="K83" s="96">
        <v>-78.472486932468058</v>
      </c>
      <c r="L83" s="96">
        <v>-48.290761189211111</v>
      </c>
      <c r="M83" s="96">
        <v>-48.290761189211111</v>
      </c>
      <c r="N83" s="96">
        <v>-66.399796635165274</v>
      </c>
      <c r="O83" s="109">
        <v>-766.61583387872656</v>
      </c>
    </row>
    <row r="84" spans="1:15" x14ac:dyDescent="0.2">
      <c r="A84" s="233"/>
      <c r="B84" s="107" t="s">
        <v>26</v>
      </c>
      <c r="C84" s="108">
        <v>-2.1165870903721986</v>
      </c>
      <c r="D84" s="96">
        <v>-1.5393360657252351</v>
      </c>
      <c r="E84" s="96">
        <v>-1.3469190575095809</v>
      </c>
      <c r="F84" s="96">
        <v>-2.3090040985878528</v>
      </c>
      <c r="G84" s="96">
        <v>-2.1165870903721986</v>
      </c>
      <c r="H84" s="96">
        <v>-2.5014211068035075</v>
      </c>
      <c r="I84" s="96">
        <v>-2.5014211068035075</v>
      </c>
      <c r="J84" s="96">
        <v>-2.3090040985878528</v>
      </c>
      <c r="K84" s="96">
        <v>-2.5014211068035075</v>
      </c>
      <c r="L84" s="96">
        <v>-1.5393360657252351</v>
      </c>
      <c r="M84" s="96">
        <v>-1.5393360657252351</v>
      </c>
      <c r="N84" s="96">
        <v>-2.1165870903721986</v>
      </c>
      <c r="O84" s="109">
        <v>-24.436960043388108</v>
      </c>
    </row>
    <row r="85" spans="1:15" x14ac:dyDescent="0.2">
      <c r="A85" s="233"/>
      <c r="B85" s="107" t="s">
        <v>27</v>
      </c>
      <c r="C85" s="108">
        <v>-68.516383725537466</v>
      </c>
      <c r="D85" s="96">
        <v>-49.830097254936348</v>
      </c>
      <c r="E85" s="96">
        <v>-43.601335098069313</v>
      </c>
      <c r="F85" s="96">
        <v>-74.745145882404529</v>
      </c>
      <c r="G85" s="96">
        <v>-68.516383725537466</v>
      </c>
      <c r="H85" s="96">
        <v>-80.973908039271564</v>
      </c>
      <c r="I85" s="96">
        <v>-80.973908039271564</v>
      </c>
      <c r="J85" s="96">
        <v>-74.745145882404529</v>
      </c>
      <c r="K85" s="96">
        <v>-80.973908039271564</v>
      </c>
      <c r="L85" s="96">
        <v>-49.830097254936348</v>
      </c>
      <c r="M85" s="96">
        <v>-49.830097254936348</v>
      </c>
      <c r="N85" s="96">
        <v>-68.516383725537466</v>
      </c>
      <c r="O85" s="109">
        <v>-791.05279392211457</v>
      </c>
    </row>
    <row r="86" spans="1:15" x14ac:dyDescent="0.2">
      <c r="A86" s="233"/>
      <c r="B86" s="107" t="s">
        <v>48</v>
      </c>
      <c r="C86" s="108">
        <v>227.42638999704749</v>
      </c>
      <c r="D86" s="96">
        <v>165.40101090694364</v>
      </c>
      <c r="E86" s="96">
        <v>144.72588454357569</v>
      </c>
      <c r="F86" s="96">
        <v>248.10151636041547</v>
      </c>
      <c r="G86" s="96">
        <v>227.42638999704749</v>
      </c>
      <c r="H86" s="96">
        <v>268.77664272378343</v>
      </c>
      <c r="I86" s="96">
        <v>268.77664272378343</v>
      </c>
      <c r="J86" s="96">
        <v>248.10151636041547</v>
      </c>
      <c r="K86" s="96">
        <v>268.77664272378343</v>
      </c>
      <c r="L86" s="96">
        <v>165.40101090694364</v>
      </c>
      <c r="M86" s="96">
        <v>165.40101090694364</v>
      </c>
      <c r="N86" s="96">
        <v>227.42638999704749</v>
      </c>
      <c r="O86" s="109">
        <v>2625.74104814773</v>
      </c>
    </row>
    <row r="87" spans="1:15" x14ac:dyDescent="0.2">
      <c r="A87" s="233"/>
      <c r="B87" s="107" t="s">
        <v>86</v>
      </c>
      <c r="C87" s="108">
        <v>0</v>
      </c>
      <c r="D87" s="96">
        <v>0</v>
      </c>
      <c r="E87" s="96">
        <v>0</v>
      </c>
      <c r="F87" s="96">
        <v>0</v>
      </c>
      <c r="G87" s="96">
        <v>0</v>
      </c>
      <c r="H87" s="96">
        <v>0</v>
      </c>
      <c r="I87" s="96">
        <v>0</v>
      </c>
      <c r="J87" s="96">
        <v>0</v>
      </c>
      <c r="K87" s="96">
        <v>0</v>
      </c>
      <c r="L87" s="96">
        <v>0</v>
      </c>
      <c r="M87" s="96">
        <v>0</v>
      </c>
      <c r="N87" s="96">
        <v>0</v>
      </c>
      <c r="O87" s="109">
        <v>0</v>
      </c>
    </row>
    <row r="88" spans="1:15" x14ac:dyDescent="0.2">
      <c r="A88" s="233"/>
      <c r="B88" s="107" t="s">
        <v>88</v>
      </c>
      <c r="C88" s="108">
        <v>0</v>
      </c>
      <c r="D88" s="96">
        <v>0</v>
      </c>
      <c r="E88" s="96">
        <v>0</v>
      </c>
      <c r="F88" s="96">
        <v>0</v>
      </c>
      <c r="G88" s="96">
        <v>0</v>
      </c>
      <c r="H88" s="96">
        <v>0</v>
      </c>
      <c r="I88" s="96">
        <v>0</v>
      </c>
      <c r="J88" s="96">
        <v>0</v>
      </c>
      <c r="K88" s="96">
        <v>0</v>
      </c>
      <c r="L88" s="96">
        <v>0</v>
      </c>
      <c r="M88" s="96">
        <v>0</v>
      </c>
      <c r="N88" s="96">
        <v>0</v>
      </c>
      <c r="O88" s="109">
        <v>0</v>
      </c>
    </row>
    <row r="89" spans="1:15" x14ac:dyDescent="0.2">
      <c r="A89" s="97" t="s">
        <v>55</v>
      </c>
      <c r="B89" s="97" t="s">
        <v>69</v>
      </c>
      <c r="C89" s="104">
        <v>292.77562429433135</v>
      </c>
      <c r="D89" s="105">
        <v>336.69196793848101</v>
      </c>
      <c r="E89" s="105">
        <v>234.22049943546506</v>
      </c>
      <c r="F89" s="105">
        <v>292.77562429433135</v>
      </c>
      <c r="G89" s="105">
        <v>395.24709279734731</v>
      </c>
      <c r="H89" s="105">
        <v>468.44099887093012</v>
      </c>
      <c r="I89" s="105">
        <v>541.63490494451298</v>
      </c>
      <c r="J89" s="105">
        <v>483.07978008564669</v>
      </c>
      <c r="K89" s="105">
        <v>541.63490494451298</v>
      </c>
      <c r="L89" s="105">
        <v>395.24709279734731</v>
      </c>
      <c r="M89" s="105">
        <v>234.22049943546506</v>
      </c>
      <c r="N89" s="105">
        <v>278.13684307961478</v>
      </c>
      <c r="O89" s="106">
        <v>4494.1058329179859</v>
      </c>
    </row>
    <row r="90" spans="1:15" x14ac:dyDescent="0.2">
      <c r="A90" s="233"/>
      <c r="B90" s="107" t="s">
        <v>25</v>
      </c>
      <c r="C90" s="108">
        <v>-120.72690297302773</v>
      </c>
      <c r="D90" s="96">
        <v>-138.83593841898193</v>
      </c>
      <c r="E90" s="96">
        <v>-96.581522378422221</v>
      </c>
      <c r="F90" s="96">
        <v>-120.72690297302773</v>
      </c>
      <c r="G90" s="96">
        <v>-162.98131901358744</v>
      </c>
      <c r="H90" s="96">
        <v>-193.16304475684444</v>
      </c>
      <c r="I90" s="96">
        <v>-223.34477050010139</v>
      </c>
      <c r="J90" s="96">
        <v>-199.19938990549588</v>
      </c>
      <c r="K90" s="96">
        <v>-223.34477050010139</v>
      </c>
      <c r="L90" s="96">
        <v>-162.98131901358744</v>
      </c>
      <c r="M90" s="96">
        <v>-96.581522378422221</v>
      </c>
      <c r="N90" s="96">
        <v>-114.69055782437636</v>
      </c>
      <c r="O90" s="109">
        <v>-1853.1579606359762</v>
      </c>
    </row>
    <row r="91" spans="1:15" x14ac:dyDescent="0.2">
      <c r="A91" s="233"/>
      <c r="B91" s="107" t="s">
        <v>26</v>
      </c>
      <c r="C91" s="108">
        <v>-3.8483401643130879</v>
      </c>
      <c r="D91" s="96">
        <v>-4.425591188960051</v>
      </c>
      <c r="E91" s="96">
        <v>-3.0786721314504701</v>
      </c>
      <c r="F91" s="96">
        <v>-3.8483401643130879</v>
      </c>
      <c r="G91" s="96">
        <v>-5.1952592218226687</v>
      </c>
      <c r="H91" s="96">
        <v>-6.1573442629009403</v>
      </c>
      <c r="I91" s="96">
        <v>-7.1194293039792127</v>
      </c>
      <c r="J91" s="96">
        <v>-6.3497612711165949</v>
      </c>
      <c r="K91" s="96">
        <v>-7.1194293039792127</v>
      </c>
      <c r="L91" s="96">
        <v>-5.1952592218226687</v>
      </c>
      <c r="M91" s="96">
        <v>-3.0786721314504701</v>
      </c>
      <c r="N91" s="96">
        <v>-3.6559231560974337</v>
      </c>
      <c r="O91" s="109">
        <v>-59.072021522205894</v>
      </c>
    </row>
    <row r="92" spans="1:15" x14ac:dyDescent="0.2">
      <c r="A92" s="233"/>
      <c r="B92" s="107" t="s">
        <v>27</v>
      </c>
      <c r="C92" s="108">
        <v>-124.57524313734082</v>
      </c>
      <c r="D92" s="96">
        <v>-143.26152960794198</v>
      </c>
      <c r="E92" s="96">
        <v>-99.660194509872696</v>
      </c>
      <c r="F92" s="96">
        <v>-124.57524313734082</v>
      </c>
      <c r="G92" s="96">
        <v>-168.17657823541012</v>
      </c>
      <c r="H92" s="96">
        <v>-199.32038901974539</v>
      </c>
      <c r="I92" s="96">
        <v>-230.46419980408061</v>
      </c>
      <c r="J92" s="96">
        <v>-205.54915117661247</v>
      </c>
      <c r="K92" s="96">
        <v>-230.46419980408061</v>
      </c>
      <c r="L92" s="96">
        <v>-168.17657823541012</v>
      </c>
      <c r="M92" s="96">
        <v>-99.660194509872696</v>
      </c>
      <c r="N92" s="96">
        <v>-118.34648098047379</v>
      </c>
      <c r="O92" s="109">
        <v>-1912.2299821581821</v>
      </c>
    </row>
    <row r="93" spans="1:15" x14ac:dyDescent="0.2">
      <c r="A93" s="233"/>
      <c r="B93" s="107" t="s">
        <v>48</v>
      </c>
      <c r="C93" s="108">
        <v>413.50252726735908</v>
      </c>
      <c r="D93" s="96">
        <v>475.52790635746294</v>
      </c>
      <c r="E93" s="96">
        <v>330.80202181388728</v>
      </c>
      <c r="F93" s="96">
        <v>413.50252726735908</v>
      </c>
      <c r="G93" s="96">
        <v>558.22841181093474</v>
      </c>
      <c r="H93" s="96">
        <v>661.60404362777456</v>
      </c>
      <c r="I93" s="96">
        <v>764.97967544461437</v>
      </c>
      <c r="J93" s="96">
        <v>682.27916999114257</v>
      </c>
      <c r="K93" s="96">
        <v>764.97967544461437</v>
      </c>
      <c r="L93" s="96">
        <v>558.22841181093474</v>
      </c>
      <c r="M93" s="96">
        <v>330.80202181388728</v>
      </c>
      <c r="N93" s="96">
        <v>392.82740090399113</v>
      </c>
      <c r="O93" s="109">
        <v>6347.2637935539615</v>
      </c>
    </row>
    <row r="94" spans="1:15" x14ac:dyDescent="0.2">
      <c r="A94" s="233"/>
      <c r="B94" s="107" t="s">
        <v>86</v>
      </c>
      <c r="C94" s="108">
        <v>0</v>
      </c>
      <c r="D94" s="96">
        <v>0</v>
      </c>
      <c r="E94" s="96">
        <v>0</v>
      </c>
      <c r="F94" s="96">
        <v>0</v>
      </c>
      <c r="G94" s="96">
        <v>0</v>
      </c>
      <c r="H94" s="96">
        <v>0</v>
      </c>
      <c r="I94" s="96">
        <v>0</v>
      </c>
      <c r="J94" s="96">
        <v>0</v>
      </c>
      <c r="K94" s="96">
        <v>0</v>
      </c>
      <c r="L94" s="96">
        <v>0</v>
      </c>
      <c r="M94" s="96">
        <v>0</v>
      </c>
      <c r="N94" s="96">
        <v>0</v>
      </c>
      <c r="O94" s="109">
        <v>0</v>
      </c>
    </row>
    <row r="95" spans="1:15" x14ac:dyDescent="0.2">
      <c r="A95" s="233"/>
      <c r="B95" s="107" t="s">
        <v>88</v>
      </c>
      <c r="C95" s="108">
        <v>0</v>
      </c>
      <c r="D95" s="96">
        <v>0</v>
      </c>
      <c r="E95" s="96">
        <v>0</v>
      </c>
      <c r="F95" s="96">
        <v>0</v>
      </c>
      <c r="G95" s="96">
        <v>0</v>
      </c>
      <c r="H95" s="96">
        <v>0</v>
      </c>
      <c r="I95" s="96">
        <v>0</v>
      </c>
      <c r="J95" s="96">
        <v>0</v>
      </c>
      <c r="K95" s="96">
        <v>0</v>
      </c>
      <c r="L95" s="96">
        <v>0</v>
      </c>
      <c r="M95" s="96">
        <v>0</v>
      </c>
      <c r="N95" s="96">
        <v>0</v>
      </c>
      <c r="O95" s="109">
        <v>0</v>
      </c>
    </row>
    <row r="96" spans="1:15" x14ac:dyDescent="0.2">
      <c r="A96" s="97" t="s">
        <v>56</v>
      </c>
      <c r="B96" s="97" t="s">
        <v>69</v>
      </c>
      <c r="C96" s="104">
        <v>512.35734251507984</v>
      </c>
      <c r="D96" s="105">
        <v>483.07978008564669</v>
      </c>
      <c r="E96" s="105">
        <v>439.16343644149697</v>
      </c>
      <c r="F96" s="105">
        <v>468.44099887093012</v>
      </c>
      <c r="G96" s="105">
        <v>585.5512485886627</v>
      </c>
      <c r="H96" s="105">
        <v>673.38393587696203</v>
      </c>
      <c r="I96" s="105">
        <v>702.66149830639517</v>
      </c>
      <c r="J96" s="105">
        <v>731.93906073582832</v>
      </c>
      <c r="K96" s="105">
        <v>761.21662316526147</v>
      </c>
      <c r="L96" s="105">
        <v>585.5512485886627</v>
      </c>
      <c r="M96" s="105">
        <v>468.44099887093012</v>
      </c>
      <c r="N96" s="105">
        <v>512.35734251507984</v>
      </c>
      <c r="O96" s="106">
        <v>6924.1435145609366</v>
      </c>
    </row>
    <row r="97" spans="1:15" x14ac:dyDescent="0.2">
      <c r="A97" s="233"/>
      <c r="B97" s="107" t="s">
        <v>25</v>
      </c>
      <c r="C97" s="108">
        <v>-211.27208020279863</v>
      </c>
      <c r="D97" s="96">
        <v>-199.19938990549588</v>
      </c>
      <c r="E97" s="96">
        <v>-181.09035445954169</v>
      </c>
      <c r="F97" s="96">
        <v>-193.16304475684444</v>
      </c>
      <c r="G97" s="96">
        <v>-241.45380594605547</v>
      </c>
      <c r="H97" s="96">
        <v>-277.67187683796385</v>
      </c>
      <c r="I97" s="96">
        <v>-289.74456713526672</v>
      </c>
      <c r="J97" s="96">
        <v>-301.81725743256936</v>
      </c>
      <c r="K97" s="96">
        <v>-313.88994772987223</v>
      </c>
      <c r="L97" s="96">
        <v>-241.45380594605547</v>
      </c>
      <c r="M97" s="96">
        <v>-193.16304475684444</v>
      </c>
      <c r="N97" s="96">
        <v>-211.27208020279863</v>
      </c>
      <c r="O97" s="109">
        <v>-2855.1912553121074</v>
      </c>
    </row>
    <row r="98" spans="1:15" x14ac:dyDescent="0.2">
      <c r="A98" s="233"/>
      <c r="B98" s="107" t="s">
        <v>26</v>
      </c>
      <c r="C98" s="108">
        <v>-6.7345952875479043</v>
      </c>
      <c r="D98" s="96">
        <v>-6.3497612711165949</v>
      </c>
      <c r="E98" s="96">
        <v>-5.7725102464696318</v>
      </c>
      <c r="F98" s="96">
        <v>-6.1573442629009403</v>
      </c>
      <c r="G98" s="96">
        <v>-7.6966803286261758</v>
      </c>
      <c r="H98" s="96">
        <v>-8.851182377920102</v>
      </c>
      <c r="I98" s="96">
        <v>-9.2360163943514113</v>
      </c>
      <c r="J98" s="96">
        <v>-9.6208504107827206</v>
      </c>
      <c r="K98" s="96">
        <v>-10.00568442721403</v>
      </c>
      <c r="L98" s="96">
        <v>-7.6966803286261758</v>
      </c>
      <c r="M98" s="96">
        <v>-6.1573442629009403</v>
      </c>
      <c r="N98" s="96">
        <v>-6.7345952875479043</v>
      </c>
      <c r="O98" s="109">
        <v>-91.013244886004529</v>
      </c>
    </row>
    <row r="99" spans="1:15" x14ac:dyDescent="0.2">
      <c r="A99" s="233"/>
      <c r="B99" s="107" t="s">
        <v>27</v>
      </c>
      <c r="C99" s="108">
        <v>-218.00667549034654</v>
      </c>
      <c r="D99" s="96">
        <v>-205.54915117661247</v>
      </c>
      <c r="E99" s="96">
        <v>-186.86286470601132</v>
      </c>
      <c r="F99" s="96">
        <v>-199.32038901974539</v>
      </c>
      <c r="G99" s="96">
        <v>-249.15048627468164</v>
      </c>
      <c r="H99" s="96">
        <v>-286.52305921588396</v>
      </c>
      <c r="I99" s="96">
        <v>-298.98058352961812</v>
      </c>
      <c r="J99" s="96">
        <v>-311.4381078433521</v>
      </c>
      <c r="K99" s="96">
        <v>-323.89563215708625</v>
      </c>
      <c r="L99" s="96">
        <v>-249.15048627468164</v>
      </c>
      <c r="M99" s="96">
        <v>-199.32038901974539</v>
      </c>
      <c r="N99" s="96">
        <v>-218.00667549034654</v>
      </c>
      <c r="O99" s="109">
        <v>-2946.2045001981114</v>
      </c>
    </row>
    <row r="100" spans="1:15" x14ac:dyDescent="0.2">
      <c r="A100" s="233"/>
      <c r="B100" s="107" t="s">
        <v>48</v>
      </c>
      <c r="C100" s="108">
        <v>723.62942271787847</v>
      </c>
      <c r="D100" s="96">
        <v>682.27916999114257</v>
      </c>
      <c r="E100" s="96">
        <v>620.25379090103866</v>
      </c>
      <c r="F100" s="96">
        <v>661.60404362777456</v>
      </c>
      <c r="G100" s="96">
        <v>827.00505453471817</v>
      </c>
      <c r="H100" s="96">
        <v>951.05581271492588</v>
      </c>
      <c r="I100" s="96">
        <v>992.40606544166189</v>
      </c>
      <c r="J100" s="96">
        <v>1033.7563181683977</v>
      </c>
      <c r="K100" s="96">
        <v>1075.1065708951337</v>
      </c>
      <c r="L100" s="96">
        <v>827.00505453471817</v>
      </c>
      <c r="M100" s="96">
        <v>661.60404362777456</v>
      </c>
      <c r="N100" s="96">
        <v>723.62942271787847</v>
      </c>
      <c r="O100" s="109">
        <v>9779.3347698730431</v>
      </c>
    </row>
    <row r="101" spans="1:15" x14ac:dyDescent="0.2">
      <c r="A101" s="233"/>
      <c r="B101" s="107" t="s">
        <v>86</v>
      </c>
      <c r="C101" s="108">
        <v>0</v>
      </c>
      <c r="D101" s="96">
        <v>0</v>
      </c>
      <c r="E101" s="96">
        <v>0</v>
      </c>
      <c r="F101" s="96">
        <v>0</v>
      </c>
      <c r="G101" s="96">
        <v>0</v>
      </c>
      <c r="H101" s="96">
        <v>0</v>
      </c>
      <c r="I101" s="96">
        <v>0</v>
      </c>
      <c r="J101" s="96">
        <v>0</v>
      </c>
      <c r="K101" s="96">
        <v>0</v>
      </c>
      <c r="L101" s="96">
        <v>0</v>
      </c>
      <c r="M101" s="96">
        <v>0</v>
      </c>
      <c r="N101" s="96">
        <v>0</v>
      </c>
      <c r="O101" s="109">
        <v>0</v>
      </c>
    </row>
    <row r="102" spans="1:15" x14ac:dyDescent="0.2">
      <c r="A102" s="233"/>
      <c r="B102" s="107" t="s">
        <v>88</v>
      </c>
      <c r="C102" s="108">
        <v>0</v>
      </c>
      <c r="D102" s="96">
        <v>0</v>
      </c>
      <c r="E102" s="96">
        <v>0</v>
      </c>
      <c r="F102" s="96">
        <v>0</v>
      </c>
      <c r="G102" s="96">
        <v>0</v>
      </c>
      <c r="H102" s="96">
        <v>0</v>
      </c>
      <c r="I102" s="96">
        <v>0</v>
      </c>
      <c r="J102" s="96">
        <v>0</v>
      </c>
      <c r="K102" s="96">
        <v>0</v>
      </c>
      <c r="L102" s="96">
        <v>0</v>
      </c>
      <c r="M102" s="96">
        <v>0</v>
      </c>
      <c r="N102" s="96">
        <v>0</v>
      </c>
      <c r="O102" s="109">
        <v>0</v>
      </c>
    </row>
    <row r="103" spans="1:15" x14ac:dyDescent="0.2">
      <c r="A103" s="97" t="s">
        <v>80</v>
      </c>
      <c r="B103" s="97" t="s">
        <v>69</v>
      </c>
      <c r="C103" s="104">
        <v>2137.2620573486188</v>
      </c>
      <c r="D103" s="105">
        <v>3103.4216175199122</v>
      </c>
      <c r="E103" s="105">
        <v>1829.8476518395707</v>
      </c>
      <c r="F103" s="105">
        <v>1346.7678717539241</v>
      </c>
      <c r="G103" s="105">
        <v>1493.1556839010898</v>
      </c>
      <c r="H103" s="105">
        <v>1815.2088706248542</v>
      </c>
      <c r="I103" s="105">
        <v>2020.1518076308862</v>
      </c>
      <c r="J103" s="105">
        <v>2049.4293700603193</v>
      </c>
      <c r="K103" s="105">
        <v>2049.4293700603193</v>
      </c>
      <c r="L103" s="105">
        <v>1551.7108087599561</v>
      </c>
      <c r="M103" s="105">
        <v>1566.3495899746727</v>
      </c>
      <c r="N103" s="105">
        <v>1610.2659336188224</v>
      </c>
      <c r="O103" s="106">
        <v>22573.000633092946</v>
      </c>
    </row>
    <row r="104" spans="1:15" x14ac:dyDescent="0.2">
      <c r="A104" s="233"/>
      <c r="B104" s="107" t="s">
        <v>25</v>
      </c>
      <c r="C104" s="108">
        <v>-881.30639170310269</v>
      </c>
      <c r="D104" s="96">
        <v>-1279.7051715140947</v>
      </c>
      <c r="E104" s="96">
        <v>-754.54314358142369</v>
      </c>
      <c r="F104" s="96">
        <v>-555.3437536759277</v>
      </c>
      <c r="G104" s="96">
        <v>-615.7072051624416</v>
      </c>
      <c r="H104" s="96">
        <v>-748.50679843277203</v>
      </c>
      <c r="I104" s="96">
        <v>-833.01563051389167</v>
      </c>
      <c r="J104" s="96">
        <v>-845.08832081119454</v>
      </c>
      <c r="K104" s="96">
        <v>-845.08832081119454</v>
      </c>
      <c r="L104" s="96">
        <v>-639.85258575704734</v>
      </c>
      <c r="M104" s="96">
        <v>-645.88893090569854</v>
      </c>
      <c r="N104" s="96">
        <v>-663.99796635165262</v>
      </c>
      <c r="O104" s="109">
        <v>-9308.0442192204428</v>
      </c>
    </row>
    <row r="105" spans="1:15" x14ac:dyDescent="0.2">
      <c r="A105" s="233"/>
      <c r="B105" s="107" t="s">
        <v>26</v>
      </c>
      <c r="C105" s="108">
        <v>-28.092883199485541</v>
      </c>
      <c r="D105" s="96">
        <v>-40.792405741718731</v>
      </c>
      <c r="E105" s="96">
        <v>-24.052126026956799</v>
      </c>
      <c r="F105" s="96">
        <v>-17.702364755840204</v>
      </c>
      <c r="G105" s="96">
        <v>-19.626534837996751</v>
      </c>
      <c r="H105" s="96">
        <v>-23.859709018741142</v>
      </c>
      <c r="I105" s="96">
        <v>-26.553547133760308</v>
      </c>
      <c r="J105" s="96">
        <v>-26.938381150191617</v>
      </c>
      <c r="K105" s="96">
        <v>-26.938381150191617</v>
      </c>
      <c r="L105" s="96">
        <v>-20.396202870859366</v>
      </c>
      <c r="M105" s="96">
        <v>-20.588619879075022</v>
      </c>
      <c r="N105" s="96">
        <v>-21.165870903721984</v>
      </c>
      <c r="O105" s="109">
        <v>-296.70702666853907</v>
      </c>
    </row>
    <row r="106" spans="1:15" x14ac:dyDescent="0.2">
      <c r="A106" s="233"/>
      <c r="B106" s="107" t="s">
        <v>27</v>
      </c>
      <c r="C106" s="108">
        <v>-909.39927490258822</v>
      </c>
      <c r="D106" s="96">
        <v>-1320.4975772558134</v>
      </c>
      <c r="E106" s="96">
        <v>-778.59526960838048</v>
      </c>
      <c r="F106" s="96">
        <v>-573.04611843176792</v>
      </c>
      <c r="G106" s="96">
        <v>-635.3337400004383</v>
      </c>
      <c r="H106" s="96">
        <v>-772.36650745151314</v>
      </c>
      <c r="I106" s="96">
        <v>-859.56917764765194</v>
      </c>
      <c r="J106" s="96">
        <v>-872.02670196138615</v>
      </c>
      <c r="K106" s="96">
        <v>-872.02670196138615</v>
      </c>
      <c r="L106" s="96">
        <v>-660.24878862790672</v>
      </c>
      <c r="M106" s="96">
        <v>-666.4775507847736</v>
      </c>
      <c r="N106" s="96">
        <v>-685.16383725537457</v>
      </c>
      <c r="O106" s="109">
        <v>-9604.7512458889796</v>
      </c>
    </row>
    <row r="107" spans="1:15" x14ac:dyDescent="0.2">
      <c r="A107" s="233"/>
      <c r="B107" s="107" t="s">
        <v>48</v>
      </c>
      <c r="C107" s="108">
        <v>3018.5684490517215</v>
      </c>
      <c r="D107" s="96">
        <v>4383.1267890340068</v>
      </c>
      <c r="E107" s="96">
        <v>2584.3907954209944</v>
      </c>
      <c r="F107" s="96">
        <v>1902.1116254298518</v>
      </c>
      <c r="G107" s="96">
        <v>2108.8628890635314</v>
      </c>
      <c r="H107" s="96">
        <v>2563.7156690576262</v>
      </c>
      <c r="I107" s="96">
        <v>2853.1674381447779</v>
      </c>
      <c r="J107" s="96">
        <v>2894.5176908715139</v>
      </c>
      <c r="K107" s="96">
        <v>2894.5176908715139</v>
      </c>
      <c r="L107" s="96">
        <v>2191.5633945170034</v>
      </c>
      <c r="M107" s="96">
        <v>2212.2385208803712</v>
      </c>
      <c r="N107" s="96">
        <v>2274.263899970475</v>
      </c>
      <c r="O107" s="109">
        <v>31881.044852313393</v>
      </c>
    </row>
    <row r="108" spans="1:15" x14ac:dyDescent="0.2">
      <c r="A108" s="233"/>
      <c r="B108" s="107" t="s">
        <v>86</v>
      </c>
      <c r="C108" s="108">
        <v>0</v>
      </c>
      <c r="D108" s="96">
        <v>0</v>
      </c>
      <c r="E108" s="96">
        <v>0</v>
      </c>
      <c r="F108" s="96">
        <v>0</v>
      </c>
      <c r="G108" s="96">
        <v>0</v>
      </c>
      <c r="H108" s="96">
        <v>0</v>
      </c>
      <c r="I108" s="96">
        <v>0</v>
      </c>
      <c r="J108" s="96">
        <v>0</v>
      </c>
      <c r="K108" s="96">
        <v>0</v>
      </c>
      <c r="L108" s="96">
        <v>0</v>
      </c>
      <c r="M108" s="96">
        <v>0</v>
      </c>
      <c r="N108" s="96">
        <v>0</v>
      </c>
      <c r="O108" s="109">
        <v>0</v>
      </c>
    </row>
    <row r="109" spans="1:15" x14ac:dyDescent="0.2">
      <c r="A109" s="233"/>
      <c r="B109" s="107" t="s">
        <v>88</v>
      </c>
      <c r="C109" s="108">
        <v>0</v>
      </c>
      <c r="D109" s="96">
        <v>0</v>
      </c>
      <c r="E109" s="96">
        <v>0</v>
      </c>
      <c r="F109" s="96">
        <v>0</v>
      </c>
      <c r="G109" s="96">
        <v>0</v>
      </c>
      <c r="H109" s="96">
        <v>0</v>
      </c>
      <c r="I109" s="96">
        <v>0</v>
      </c>
      <c r="J109" s="96">
        <v>0</v>
      </c>
      <c r="K109" s="96">
        <v>0</v>
      </c>
      <c r="L109" s="96">
        <v>0</v>
      </c>
      <c r="M109" s="96">
        <v>0</v>
      </c>
      <c r="N109" s="96">
        <v>0</v>
      </c>
      <c r="O109" s="109">
        <v>0</v>
      </c>
    </row>
    <row r="110" spans="1:15" x14ac:dyDescent="0.2">
      <c r="A110" s="97" t="s">
        <v>82</v>
      </c>
      <c r="B110" s="97" t="s">
        <v>69</v>
      </c>
      <c r="C110" s="104">
        <v>556.27368615922956</v>
      </c>
      <c r="D110" s="105">
        <v>878.32687288299394</v>
      </c>
      <c r="E110" s="105">
        <v>453.80221765621354</v>
      </c>
      <c r="F110" s="105">
        <v>292.77562429433135</v>
      </c>
      <c r="G110" s="105">
        <v>409.88587401206382</v>
      </c>
      <c r="H110" s="105">
        <v>658.74515466224545</v>
      </c>
      <c r="I110" s="105">
        <v>775.85540437997804</v>
      </c>
      <c r="J110" s="105">
        <v>731.93906073582832</v>
      </c>
      <c r="K110" s="105">
        <v>717.30027952111175</v>
      </c>
      <c r="L110" s="105">
        <v>556.27368615922956</v>
      </c>
      <c r="M110" s="105">
        <v>468.44099887093012</v>
      </c>
      <c r="N110" s="105">
        <v>453.80221765621354</v>
      </c>
      <c r="O110" s="106">
        <v>6953.4210769903684</v>
      </c>
    </row>
    <row r="111" spans="1:15" x14ac:dyDescent="0.2">
      <c r="A111" s="233"/>
      <c r="B111" s="107" t="s">
        <v>25</v>
      </c>
      <c r="C111" s="108">
        <v>-229.38111564875271</v>
      </c>
      <c r="D111" s="96">
        <v>-362.18070891908337</v>
      </c>
      <c r="E111" s="96">
        <v>-187.12669960819301</v>
      </c>
      <c r="F111" s="96">
        <v>-120.72690297302773</v>
      </c>
      <c r="G111" s="96">
        <v>-169.01766416223893</v>
      </c>
      <c r="H111" s="96">
        <v>-271.63553168931253</v>
      </c>
      <c r="I111" s="96">
        <v>-319.92629287852367</v>
      </c>
      <c r="J111" s="96">
        <v>-301.81725743256936</v>
      </c>
      <c r="K111" s="96">
        <v>-295.78091228391804</v>
      </c>
      <c r="L111" s="96">
        <v>-229.38111564875271</v>
      </c>
      <c r="M111" s="96">
        <v>-193.16304475684444</v>
      </c>
      <c r="N111" s="96">
        <v>-187.12669960819301</v>
      </c>
      <c r="O111" s="109">
        <v>-2867.2639456094098</v>
      </c>
    </row>
    <row r="112" spans="1:15" x14ac:dyDescent="0.2">
      <c r="A112" s="233"/>
      <c r="B112" s="107" t="s">
        <v>26</v>
      </c>
      <c r="C112" s="108">
        <v>-7.3118463121948674</v>
      </c>
      <c r="D112" s="96">
        <v>-11.545020492939264</v>
      </c>
      <c r="E112" s="96">
        <v>-5.9649272546852856</v>
      </c>
      <c r="F112" s="96">
        <v>-3.8483401643130879</v>
      </c>
      <c r="G112" s="96">
        <v>-5.3876762300383234</v>
      </c>
      <c r="H112" s="96">
        <v>-8.6587653697044473</v>
      </c>
      <c r="I112" s="96">
        <v>-10.198101435429683</v>
      </c>
      <c r="J112" s="96">
        <v>-9.6208504107827206</v>
      </c>
      <c r="K112" s="96">
        <v>-9.428433402567066</v>
      </c>
      <c r="L112" s="96">
        <v>-7.3118463121948674</v>
      </c>
      <c r="M112" s="96">
        <v>-6.1573442629009403</v>
      </c>
      <c r="N112" s="96">
        <v>-5.9649272546852856</v>
      </c>
      <c r="O112" s="109">
        <v>-91.398078902435827</v>
      </c>
    </row>
    <row r="113" spans="1:15" x14ac:dyDescent="0.2">
      <c r="A113" s="233"/>
      <c r="B113" s="107" t="s">
        <v>27</v>
      </c>
      <c r="C113" s="108">
        <v>-236.69296196094757</v>
      </c>
      <c r="D113" s="96">
        <v>-373.72572941202264</v>
      </c>
      <c r="E113" s="96">
        <v>-193.09162686287829</v>
      </c>
      <c r="F113" s="96">
        <v>-124.57524313734082</v>
      </c>
      <c r="G113" s="96">
        <v>-174.40534039227725</v>
      </c>
      <c r="H113" s="96">
        <v>-280.29429705901697</v>
      </c>
      <c r="I113" s="96">
        <v>-330.12439431395336</v>
      </c>
      <c r="J113" s="96">
        <v>-311.4381078433521</v>
      </c>
      <c r="K113" s="96">
        <v>-305.20934568648511</v>
      </c>
      <c r="L113" s="96">
        <v>-236.69296196094757</v>
      </c>
      <c r="M113" s="96">
        <v>-199.32038901974539</v>
      </c>
      <c r="N113" s="96">
        <v>-193.09162686287829</v>
      </c>
      <c r="O113" s="109">
        <v>-2958.6620245118461</v>
      </c>
    </row>
    <row r="114" spans="1:15" x14ac:dyDescent="0.2">
      <c r="A114" s="233"/>
      <c r="B114" s="107" t="s">
        <v>48</v>
      </c>
      <c r="C114" s="108">
        <v>785.65480180798227</v>
      </c>
      <c r="D114" s="96">
        <v>1240.5075818020773</v>
      </c>
      <c r="E114" s="96">
        <v>640.92891726440655</v>
      </c>
      <c r="F114" s="96">
        <v>413.50252726735908</v>
      </c>
      <c r="G114" s="96">
        <v>578.90353817430275</v>
      </c>
      <c r="H114" s="96">
        <v>930.38068635155798</v>
      </c>
      <c r="I114" s="96">
        <v>1095.7816972585017</v>
      </c>
      <c r="J114" s="96">
        <v>1033.7563181683977</v>
      </c>
      <c r="K114" s="96">
        <v>1013.0811918050298</v>
      </c>
      <c r="L114" s="96">
        <v>785.65480180798227</v>
      </c>
      <c r="M114" s="96">
        <v>661.60404362777456</v>
      </c>
      <c r="N114" s="96">
        <v>640.92891726440655</v>
      </c>
      <c r="O114" s="109">
        <v>9820.6850225997787</v>
      </c>
    </row>
    <row r="115" spans="1:15" x14ac:dyDescent="0.2">
      <c r="A115" s="233"/>
      <c r="B115" s="107" t="s">
        <v>86</v>
      </c>
      <c r="C115" s="108">
        <v>0</v>
      </c>
      <c r="D115" s="96">
        <v>0</v>
      </c>
      <c r="E115" s="96">
        <v>0</v>
      </c>
      <c r="F115" s="96">
        <v>0</v>
      </c>
      <c r="G115" s="96">
        <v>0</v>
      </c>
      <c r="H115" s="96">
        <v>0</v>
      </c>
      <c r="I115" s="96">
        <v>0</v>
      </c>
      <c r="J115" s="96">
        <v>0</v>
      </c>
      <c r="K115" s="96">
        <v>0</v>
      </c>
      <c r="L115" s="96">
        <v>0</v>
      </c>
      <c r="M115" s="96">
        <v>0</v>
      </c>
      <c r="N115" s="96">
        <v>0</v>
      </c>
      <c r="O115" s="109">
        <v>0</v>
      </c>
    </row>
    <row r="116" spans="1:15" x14ac:dyDescent="0.2">
      <c r="A116" s="233"/>
      <c r="B116" s="107" t="s">
        <v>88</v>
      </c>
      <c r="C116" s="108">
        <v>0</v>
      </c>
      <c r="D116" s="96">
        <v>0</v>
      </c>
      <c r="E116" s="96">
        <v>0</v>
      </c>
      <c r="F116" s="96">
        <v>0</v>
      </c>
      <c r="G116" s="96">
        <v>0</v>
      </c>
      <c r="H116" s="96">
        <v>0</v>
      </c>
      <c r="I116" s="96">
        <v>0</v>
      </c>
      <c r="J116" s="96">
        <v>0</v>
      </c>
      <c r="K116" s="96">
        <v>0</v>
      </c>
      <c r="L116" s="96">
        <v>0</v>
      </c>
      <c r="M116" s="96">
        <v>0</v>
      </c>
      <c r="N116" s="96">
        <v>0</v>
      </c>
      <c r="O116" s="109">
        <v>0</v>
      </c>
    </row>
    <row r="117" spans="1:15" x14ac:dyDescent="0.2">
      <c r="A117" s="97" t="s">
        <v>70</v>
      </c>
      <c r="B117" s="98"/>
      <c r="C117" s="104">
        <v>112147.7028859436</v>
      </c>
      <c r="D117" s="105">
        <v>135760.05698528144</v>
      </c>
      <c r="E117" s="105">
        <v>94932.496177436929</v>
      </c>
      <c r="F117" s="105">
        <v>88535.348786605769</v>
      </c>
      <c r="G117" s="105">
        <v>111342.56991913418</v>
      </c>
      <c r="H117" s="105">
        <v>140956.82431650584</v>
      </c>
      <c r="I117" s="105">
        <v>148041.9944244287</v>
      </c>
      <c r="J117" s="105">
        <v>149139.90301553244</v>
      </c>
      <c r="K117" s="105">
        <v>148627.54567301733</v>
      </c>
      <c r="L117" s="105">
        <v>115895.23087691104</v>
      </c>
      <c r="M117" s="105">
        <v>94654.359334357301</v>
      </c>
      <c r="N117" s="105">
        <v>99119.187604845851</v>
      </c>
      <c r="O117" s="106">
        <v>1439153.2200000004</v>
      </c>
    </row>
    <row r="118" spans="1:15" x14ac:dyDescent="0.2">
      <c r="A118" s="97" t="s">
        <v>28</v>
      </c>
      <c r="B118" s="98"/>
      <c r="C118" s="246">
        <v>-46244.440183818304</v>
      </c>
      <c r="D118" s="247">
        <v>-55981.064908592976</v>
      </c>
      <c r="E118" s="247">
        <v>-39145.698289004264</v>
      </c>
      <c r="F118" s="247">
        <v>-36507.815459043617</v>
      </c>
      <c r="G118" s="247">
        <v>-45912.441200642468</v>
      </c>
      <c r="H118" s="247">
        <v>-58123.967436364226</v>
      </c>
      <c r="I118" s="247">
        <v>-61045.558488311501</v>
      </c>
      <c r="J118" s="247">
        <v>-61498.284374460352</v>
      </c>
      <c r="K118" s="247">
        <v>-61287.012294257554</v>
      </c>
      <c r="L118" s="247">
        <v>-47789.744541873042</v>
      </c>
      <c r="M118" s="247">
        <v>-39031.007731179881</v>
      </c>
      <c r="N118" s="247">
        <v>-40872.093001518559</v>
      </c>
      <c r="O118" s="248">
        <v>-593439.12790906674</v>
      </c>
    </row>
    <row r="119" spans="1:15" x14ac:dyDescent="0.2">
      <c r="A119" s="97" t="s">
        <v>29</v>
      </c>
      <c r="B119" s="98"/>
      <c r="C119" s="246">
        <v>-1474.1066999401285</v>
      </c>
      <c r="D119" s="247">
        <v>-1784.4753341919791</v>
      </c>
      <c r="E119" s="247">
        <v>-1247.8242982785191</v>
      </c>
      <c r="F119" s="247">
        <v>-1163.7380656882779</v>
      </c>
      <c r="G119" s="247">
        <v>-1463.5237644882675</v>
      </c>
      <c r="H119" s="247">
        <v>-1852.7833721085365</v>
      </c>
      <c r="I119" s="247">
        <v>-1945.9132040849129</v>
      </c>
      <c r="J119" s="247">
        <v>-1960.3444797010866</v>
      </c>
      <c r="K119" s="247">
        <v>-1953.609884413539</v>
      </c>
      <c r="L119" s="247">
        <v>-1523.3654540433358</v>
      </c>
      <c r="M119" s="247">
        <v>-1244.1683751224214</v>
      </c>
      <c r="N119" s="247">
        <v>-1302.8555626281959</v>
      </c>
      <c r="O119" s="248">
        <v>-18916.708494689203</v>
      </c>
    </row>
    <row r="120" spans="1:15" x14ac:dyDescent="0.2">
      <c r="A120" s="97" t="s">
        <v>30</v>
      </c>
      <c r="B120" s="98"/>
      <c r="C120" s="246">
        <v>-47718.546883758434</v>
      </c>
      <c r="D120" s="247">
        <v>-57765.540242784955</v>
      </c>
      <c r="E120" s="247">
        <v>-40393.522587282787</v>
      </c>
      <c r="F120" s="247">
        <v>-37671.553524731884</v>
      </c>
      <c r="G120" s="247">
        <v>-47375.964965130748</v>
      </c>
      <c r="H120" s="247">
        <v>-59976.750808472767</v>
      </c>
      <c r="I120" s="247">
        <v>-62991.471692396415</v>
      </c>
      <c r="J120" s="247">
        <v>-63458.628854161456</v>
      </c>
      <c r="K120" s="247">
        <v>-63240.622178671096</v>
      </c>
      <c r="L120" s="247">
        <v>-49313.109995916384</v>
      </c>
      <c r="M120" s="247">
        <v>-40275.1761063023</v>
      </c>
      <c r="N120" s="247">
        <v>-42174.948564146747</v>
      </c>
      <c r="O120" s="248">
        <v>-612355.83640375594</v>
      </c>
    </row>
    <row r="121" spans="1:15" x14ac:dyDescent="0.2">
      <c r="A121" s="97" t="s">
        <v>60</v>
      </c>
      <c r="B121" s="98"/>
      <c r="C121" s="104">
        <v>158392.14306976186</v>
      </c>
      <c r="D121" s="105">
        <v>191741.1218938744</v>
      </c>
      <c r="E121" s="105">
        <v>134078.1944664412</v>
      </c>
      <c r="F121" s="105">
        <v>125043.16424564937</v>
      </c>
      <c r="G121" s="105">
        <v>157255.0111197767</v>
      </c>
      <c r="H121" s="105">
        <v>199080.79175287002</v>
      </c>
      <c r="I121" s="105">
        <v>209087.55291274018</v>
      </c>
      <c r="J121" s="105">
        <v>210638.18738999273</v>
      </c>
      <c r="K121" s="105">
        <v>209914.5579672748</v>
      </c>
      <c r="L121" s="105">
        <v>163684.97541878404</v>
      </c>
      <c r="M121" s="105">
        <v>133685.3670655372</v>
      </c>
      <c r="N121" s="105">
        <v>139991.28060636445</v>
      </c>
      <c r="O121" s="106">
        <v>2032592.3479090666</v>
      </c>
    </row>
    <row r="122" spans="1:15" x14ac:dyDescent="0.2">
      <c r="A122" s="97" t="s">
        <v>87</v>
      </c>
      <c r="B122" s="98"/>
      <c r="C122" s="104">
        <v>0</v>
      </c>
      <c r="D122" s="105">
        <v>0</v>
      </c>
      <c r="E122" s="105">
        <v>0</v>
      </c>
      <c r="F122" s="105">
        <v>0</v>
      </c>
      <c r="G122" s="105">
        <v>0</v>
      </c>
      <c r="H122" s="105">
        <v>0</v>
      </c>
      <c r="I122" s="105">
        <v>0</v>
      </c>
      <c r="J122" s="105">
        <v>0</v>
      </c>
      <c r="K122" s="105">
        <v>0</v>
      </c>
      <c r="L122" s="105">
        <v>0</v>
      </c>
      <c r="M122" s="105">
        <v>0</v>
      </c>
      <c r="N122" s="105">
        <v>0</v>
      </c>
      <c r="O122" s="106">
        <v>0</v>
      </c>
    </row>
    <row r="123" spans="1:15" x14ac:dyDescent="0.2">
      <c r="A123" s="110" t="s">
        <v>89</v>
      </c>
      <c r="B123" s="234"/>
      <c r="C123" s="111">
        <v>0</v>
      </c>
      <c r="D123" s="112">
        <v>0</v>
      </c>
      <c r="E123" s="112">
        <v>0</v>
      </c>
      <c r="F123" s="112">
        <v>0</v>
      </c>
      <c r="G123" s="112">
        <v>0</v>
      </c>
      <c r="H123" s="112">
        <v>0</v>
      </c>
      <c r="I123" s="112">
        <v>0</v>
      </c>
      <c r="J123" s="112">
        <v>0</v>
      </c>
      <c r="K123" s="112">
        <v>0</v>
      </c>
      <c r="L123" s="112">
        <v>0</v>
      </c>
      <c r="M123" s="112">
        <v>0</v>
      </c>
      <c r="N123" s="112">
        <v>0</v>
      </c>
      <c r="O123" s="113">
        <v>0</v>
      </c>
    </row>
  </sheetData>
  <phoneticPr fontId="6" type="noConversion"/>
  <pageMargins left="0.5" right="0.5" top="0.73" bottom="0.98" header="0.5" footer="0.5"/>
  <pageSetup scale="53" fitToHeight="0" orientation="landscape" horizontalDpi="1200" verticalDpi="1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220"/>
  <sheetViews>
    <sheetView showGridLines="0" zoomScale="80" zoomScaleNormal="80" zoomScaleSheetLayoutView="100" workbookViewId="0">
      <selection activeCell="P2" sqref="P2"/>
    </sheetView>
  </sheetViews>
  <sheetFormatPr defaultColWidth="8.7109375" defaultRowHeight="12.75" x14ac:dyDescent="0.2"/>
  <cols>
    <col min="1" max="1" width="0.5703125" style="1" customWidth="1"/>
    <col min="2" max="2" width="10.28515625" style="1" bestFit="1" customWidth="1"/>
    <col min="3" max="3" width="10.7109375" style="1" bestFit="1" customWidth="1"/>
    <col min="4" max="4" width="11" style="161" customWidth="1"/>
    <col min="5" max="5" width="24.28515625" style="1" customWidth="1"/>
    <col min="6" max="6" width="7.7109375" style="161" customWidth="1"/>
    <col min="7" max="7" width="6.7109375" style="161" customWidth="1"/>
    <col min="8" max="8" width="11.140625" style="161" bestFit="1" customWidth="1"/>
    <col min="9" max="9" width="11.28515625" style="162" customWidth="1"/>
    <col min="10" max="10" width="14.85546875" style="161" bestFit="1" customWidth="1"/>
    <col min="11" max="11" width="14.85546875" style="163" bestFit="1" customWidth="1"/>
    <col min="12" max="12" width="14.7109375" style="161" customWidth="1"/>
    <col min="13" max="13" width="13.42578125" style="124" bestFit="1" customWidth="1"/>
    <col min="14" max="15" width="13.42578125" style="124" customWidth="1"/>
    <col min="16" max="16" width="14.85546875" style="124" bestFit="1" customWidth="1"/>
    <col min="17" max="17" width="13.42578125" style="124" customWidth="1"/>
    <col min="18" max="18" width="15.5703125" style="232" customWidth="1"/>
    <col min="19" max="16384" width="8.7109375" style="1"/>
  </cols>
  <sheetData>
    <row r="1" spans="2:18" ht="22.5" x14ac:dyDescent="0.2">
      <c r="B1" s="10" t="s">
        <v>96</v>
      </c>
      <c r="C1" s="114"/>
      <c r="D1" s="115"/>
      <c r="E1" s="114"/>
      <c r="F1" s="116" t="s">
        <v>12</v>
      </c>
      <c r="G1" s="117"/>
      <c r="H1" s="118"/>
      <c r="I1" s="119"/>
      <c r="J1" s="237" t="str">
        <f>"True-Up ARR
(CY"&amp;R1&amp;")"</f>
        <v>True-Up ARR
(CY2021)</v>
      </c>
      <c r="K1" s="237" t="str">
        <f>"Projected ARR
(Jan'"&amp;RIGHT(R$1,2)&amp;" - Dec'"&amp;RIGHT(R$1,2)&amp;")"</f>
        <v>Projected ARR
(Jan'21 - Dec'21)</v>
      </c>
      <c r="L1" s="120" t="s">
        <v>44</v>
      </c>
      <c r="M1" s="121"/>
      <c r="N1" s="52"/>
      <c r="O1" s="52"/>
      <c r="P1" s="52"/>
      <c r="Q1" s="52"/>
      <c r="R1" s="122">
        <v>2021</v>
      </c>
    </row>
    <row r="2" spans="2:18" x14ac:dyDescent="0.2">
      <c r="B2" s="10" t="s">
        <v>51</v>
      </c>
      <c r="C2" s="114"/>
      <c r="D2" s="115"/>
      <c r="E2" s="114"/>
      <c r="F2" s="123">
        <v>1</v>
      </c>
      <c r="G2" s="250"/>
      <c r="H2" s="250"/>
      <c r="I2" s="125" t="s">
        <v>6</v>
      </c>
      <c r="J2" s="126">
        <v>1439153.2200000004</v>
      </c>
      <c r="K2" s="126">
        <v>2031455.2159590817</v>
      </c>
      <c r="L2" s="127"/>
      <c r="M2" s="128"/>
      <c r="N2" s="52"/>
      <c r="O2" s="52"/>
      <c r="P2" s="52"/>
      <c r="Q2" s="52"/>
      <c r="R2" s="1"/>
    </row>
    <row r="3" spans="2:18" x14ac:dyDescent="0.2">
      <c r="B3" s="10" t="str">
        <f>"for CY"&amp;R1&amp;" SPP Network Transmission Service"</f>
        <v>for CY2021 SPP Network Transmission Service</v>
      </c>
      <c r="C3" s="114"/>
      <c r="D3" s="115"/>
      <c r="E3" s="114"/>
      <c r="F3" s="123"/>
      <c r="G3" s="250"/>
      <c r="H3" s="250"/>
      <c r="I3" s="125" t="s">
        <v>10</v>
      </c>
      <c r="J3" s="129">
        <v>14.638781214716566</v>
      </c>
      <c r="K3" s="129">
        <v>20.675126363367955</v>
      </c>
      <c r="L3" s="130" t="str">
        <f>"Inv. Jan-Dec'"&amp;RIGHT(R1,2)</f>
        <v>Inv. Jan-Dec'21</v>
      </c>
      <c r="M3" s="128"/>
      <c r="N3" s="52"/>
      <c r="O3" s="52"/>
      <c r="P3" s="52"/>
      <c r="Q3" s="52"/>
      <c r="R3" s="1"/>
    </row>
    <row r="4" spans="2:18" x14ac:dyDescent="0.2">
      <c r="B4" s="9"/>
      <c r="C4" s="114"/>
      <c r="D4" s="115"/>
      <c r="E4" s="114"/>
      <c r="F4" s="123"/>
      <c r="G4" s="124"/>
      <c r="H4" s="124"/>
      <c r="I4" s="51"/>
      <c r="J4" s="124"/>
      <c r="K4" s="131"/>
      <c r="L4" s="124"/>
      <c r="M4" s="132"/>
      <c r="R4" s="1"/>
    </row>
    <row r="5" spans="2:18" x14ac:dyDescent="0.2">
      <c r="B5" s="9"/>
      <c r="C5" s="114"/>
      <c r="D5" s="115"/>
      <c r="E5" s="114"/>
      <c r="F5" s="123"/>
      <c r="G5" s="124"/>
      <c r="H5" s="124"/>
      <c r="I5" s="125"/>
      <c r="J5" s="124"/>
      <c r="K5" s="126">
        <v>0</v>
      </c>
      <c r="L5" s="127"/>
      <c r="M5" s="133"/>
      <c r="N5" s="134"/>
      <c r="O5" s="134"/>
      <c r="P5" s="134"/>
      <c r="Q5" s="134"/>
      <c r="R5" s="135"/>
    </row>
    <row r="6" spans="2:18" x14ac:dyDescent="0.2">
      <c r="B6" s="10" t="s">
        <v>23</v>
      </c>
      <c r="D6" s="115"/>
      <c r="E6" s="114"/>
      <c r="F6" s="136"/>
      <c r="G6" s="137"/>
      <c r="H6" s="138"/>
      <c r="I6" s="139"/>
      <c r="J6" s="140"/>
      <c r="K6" s="129">
        <v>0</v>
      </c>
      <c r="L6" s="235"/>
      <c r="M6" s="133"/>
      <c r="N6" s="134"/>
      <c r="O6" s="134"/>
      <c r="P6" s="134"/>
      <c r="Q6" s="134"/>
      <c r="R6" s="1"/>
    </row>
    <row r="7" spans="2:18" x14ac:dyDescent="0.2">
      <c r="B7" s="9" t="s">
        <v>76</v>
      </c>
      <c r="D7" s="115"/>
      <c r="E7" s="114"/>
      <c r="F7" s="123"/>
      <c r="G7" s="251"/>
      <c r="H7" s="250"/>
      <c r="I7" s="125"/>
      <c r="J7" s="141"/>
      <c r="K7" s="127"/>
      <c r="L7" s="127"/>
      <c r="M7" s="142"/>
      <c r="N7" s="143"/>
      <c r="O7" s="143"/>
      <c r="P7" s="143"/>
      <c r="Q7" s="143"/>
      <c r="R7" s="1"/>
    </row>
    <row r="8" spans="2:18" x14ac:dyDescent="0.2">
      <c r="B8" s="10"/>
      <c r="C8" s="114"/>
      <c r="D8" s="115"/>
      <c r="E8" s="114"/>
      <c r="F8" s="123"/>
      <c r="G8" s="250"/>
      <c r="H8" s="250"/>
      <c r="I8" s="125"/>
      <c r="J8" s="144"/>
      <c r="K8" s="127"/>
      <c r="L8" s="145"/>
      <c r="M8" s="128"/>
      <c r="N8" s="52"/>
      <c r="O8" s="52"/>
      <c r="P8" s="52"/>
      <c r="Q8" s="52"/>
      <c r="R8" s="135"/>
    </row>
    <row r="9" spans="2:18" x14ac:dyDescent="0.2">
      <c r="B9" s="146"/>
      <c r="C9" s="114"/>
      <c r="D9" s="115"/>
      <c r="E9" s="114"/>
      <c r="F9" s="123"/>
      <c r="G9" s="124"/>
      <c r="H9" s="124"/>
      <c r="I9" s="147"/>
      <c r="J9" s="148"/>
      <c r="K9" s="149"/>
      <c r="L9" s="150"/>
      <c r="M9" s="128"/>
      <c r="N9" s="52"/>
      <c r="O9" s="52"/>
      <c r="P9" s="52"/>
      <c r="Q9" s="52"/>
      <c r="R9" s="135"/>
    </row>
    <row r="10" spans="2:18" ht="13.5" thickBot="1" x14ac:dyDescent="0.25">
      <c r="B10" s="9"/>
      <c r="D10" s="1"/>
      <c r="E10" s="151"/>
      <c r="F10" s="152"/>
      <c r="G10" s="153"/>
      <c r="H10" s="154"/>
      <c r="I10" s="155"/>
      <c r="J10" s="156"/>
      <c r="K10" s="156"/>
      <c r="L10" s="157"/>
      <c r="M10" s="158"/>
      <c r="R10" s="159"/>
    </row>
    <row r="11" spans="2:18" x14ac:dyDescent="0.2">
      <c r="B11" s="160"/>
      <c r="E11" s="151"/>
      <c r="L11" s="164"/>
      <c r="M11" s="1"/>
      <c r="N11" s="1"/>
      <c r="O11" s="1"/>
      <c r="P11" s="1"/>
      <c r="Q11" s="1"/>
      <c r="R11" s="135"/>
    </row>
    <row r="12" spans="2:18" x14ac:dyDescent="0.2">
      <c r="E12" s="151"/>
      <c r="L12" s="164"/>
      <c r="R12" s="165" t="s">
        <v>59</v>
      </c>
    </row>
    <row r="13" spans="2:18" x14ac:dyDescent="0.2">
      <c r="E13" s="151"/>
      <c r="F13" s="166"/>
      <c r="G13" s="167"/>
      <c r="H13" s="167"/>
      <c r="I13" s="168" t="s">
        <v>57</v>
      </c>
      <c r="J13" s="169">
        <f t="shared" ref="J13:R13" si="0">SUM(J56:J211)</f>
        <v>374503.93981609377</v>
      </c>
      <c r="K13" s="169">
        <f t="shared" si="0"/>
        <v>528931.75775404251</v>
      </c>
      <c r="L13" s="170">
        <f t="shared" si="0"/>
        <v>-154427.81793794833</v>
      </c>
      <c r="M13" s="171">
        <f t="shared" si="0"/>
        <v>-4922.6043211810866</v>
      </c>
      <c r="N13" s="169">
        <f t="shared" si="0"/>
        <v>-159350.42225912958</v>
      </c>
      <c r="O13" s="169">
        <f t="shared" si="0"/>
        <v>0</v>
      </c>
      <c r="P13" s="169">
        <f t="shared" si="0"/>
        <v>0</v>
      </c>
      <c r="Q13" s="169">
        <f t="shared" si="0"/>
        <v>0</v>
      </c>
      <c r="R13" s="170">
        <f t="shared" si="0"/>
        <v>-159350.42225912958</v>
      </c>
    </row>
    <row r="14" spans="2:18" x14ac:dyDescent="0.2">
      <c r="E14" s="151"/>
      <c r="F14" s="172"/>
      <c r="G14" s="172"/>
      <c r="H14" s="172"/>
      <c r="I14" s="173" t="s">
        <v>58</v>
      </c>
      <c r="J14" s="169">
        <f>SUM(J20:J211)</f>
        <v>1439153.2200000023</v>
      </c>
      <c r="K14" s="169">
        <f>SUM(K20:K211)</f>
        <v>2032592.3479090685</v>
      </c>
      <c r="L14" s="170">
        <f>SUM(L20:L211)</f>
        <v>-593439.12790906709</v>
      </c>
      <c r="M14" s="236">
        <v>-18916.708494689199</v>
      </c>
      <c r="N14" s="169">
        <f>SUM(N20:N211)</f>
        <v>-612355.83640375629</v>
      </c>
      <c r="O14" s="169">
        <f>SUM(O20:O211)</f>
        <v>0</v>
      </c>
      <c r="P14" s="169">
        <f>SUM(P20:P211)</f>
        <v>0</v>
      </c>
      <c r="Q14" s="169">
        <f>SUM(Q20:Q211)</f>
        <v>0</v>
      </c>
      <c r="R14" s="170">
        <f>SUM(R20:R211)</f>
        <v>-612355.83640375629</v>
      </c>
    </row>
    <row r="15" spans="2:18" x14ac:dyDescent="0.2">
      <c r="B15" s="174" t="s">
        <v>81</v>
      </c>
      <c r="E15" s="151"/>
      <c r="J15" s="162"/>
      <c r="L15" s="164"/>
      <c r="M15" s="238"/>
      <c r="N15" s="175"/>
      <c r="O15" s="175"/>
      <c r="P15" s="175"/>
      <c r="Q15" s="175"/>
      <c r="R15" s="176" t="s">
        <v>20</v>
      </c>
    </row>
    <row r="16" spans="2:18" x14ac:dyDescent="0.2">
      <c r="B16" s="177" t="str">
        <f>"** Actual Trued-Up CY"&amp;R1&amp;" Charge reflects "&amp;R1&amp;" True-UP Rate x MW"</f>
        <v>** Actual Trued-Up CY2021 Charge reflects 2021 True-UP Rate x MW</v>
      </c>
      <c r="E16" s="151"/>
      <c r="F16" s="124"/>
      <c r="G16" s="5"/>
      <c r="J16" s="178"/>
      <c r="L16" s="179" t="s">
        <v>11</v>
      </c>
      <c r="M16" s="175"/>
      <c r="N16" s="175"/>
      <c r="O16" s="175"/>
      <c r="P16" s="175"/>
      <c r="Q16" s="175"/>
      <c r="R16" s="180"/>
    </row>
    <row r="17" spans="1:18" x14ac:dyDescent="0.2">
      <c r="B17" s="181" t="s">
        <v>61</v>
      </c>
      <c r="E17" s="151"/>
      <c r="I17" s="182"/>
      <c r="J17" s="183"/>
      <c r="K17" s="184"/>
      <c r="L17" s="184"/>
      <c r="M17" s="184"/>
      <c r="N17" s="184"/>
      <c r="O17" s="184"/>
      <c r="P17" s="184"/>
      <c r="Q17" s="184"/>
      <c r="R17" s="185"/>
    </row>
    <row r="18" spans="1:18" ht="3.6" customHeight="1" x14ac:dyDescent="0.2">
      <c r="I18" s="186"/>
      <c r="J18" s="183"/>
      <c r="K18" s="186"/>
      <c r="L18" s="186"/>
      <c r="M18" s="187"/>
      <c r="N18" s="187"/>
      <c r="O18" s="187"/>
      <c r="P18" s="187"/>
      <c r="Q18" s="187"/>
      <c r="R18" s="188"/>
    </row>
    <row r="19" spans="1:18" ht="38.25" customHeight="1" x14ac:dyDescent="0.2">
      <c r="B19" s="189" t="s">
        <v>52</v>
      </c>
      <c r="C19" s="239" t="s">
        <v>4</v>
      </c>
      <c r="D19" s="239" t="s">
        <v>5</v>
      </c>
      <c r="E19" s="240" t="s">
        <v>0</v>
      </c>
      <c r="F19" s="241" t="s">
        <v>12</v>
      </c>
      <c r="G19" s="242" t="s">
        <v>1</v>
      </c>
      <c r="H19" s="190" t="s">
        <v>47</v>
      </c>
      <c r="I19" s="190" t="s">
        <v>45</v>
      </c>
      <c r="J19" s="191" t="str">
        <f>"True-Up Charge"</f>
        <v>True-Up Charge</v>
      </c>
      <c r="K19" s="191" t="s">
        <v>46</v>
      </c>
      <c r="L19" s="192" t="s">
        <v>3</v>
      </c>
      <c r="M19" s="193" t="s">
        <v>7</v>
      </c>
      <c r="N19" s="194" t="s">
        <v>98</v>
      </c>
      <c r="O19" s="194" t="s">
        <v>83</v>
      </c>
      <c r="P19" s="194" t="s">
        <v>84</v>
      </c>
      <c r="Q19" s="194" t="s">
        <v>85</v>
      </c>
      <c r="R19" s="195" t="s">
        <v>2</v>
      </c>
    </row>
    <row r="20" spans="1:18" s="52" customFormat="1" ht="12.75" customHeight="1" x14ac:dyDescent="0.2">
      <c r="A20" s="124">
        <v>1</v>
      </c>
      <c r="B20" s="196">
        <f>DATE($R$1,A20,1)</f>
        <v>44197</v>
      </c>
      <c r="C20" s="197">
        <v>44230</v>
      </c>
      <c r="D20" s="197">
        <v>44251</v>
      </c>
      <c r="E20" s="198" t="s">
        <v>21</v>
      </c>
      <c r="F20" s="124">
        <v>9</v>
      </c>
      <c r="G20" s="199">
        <v>2536</v>
      </c>
      <c r="H20" s="200">
        <f>+$K$3</f>
        <v>20.675126363367955</v>
      </c>
      <c r="I20" s="200">
        <f t="shared" ref="I20:I63" si="1">$J$3</f>
        <v>14.638781214716566</v>
      </c>
      <c r="J20" s="201">
        <f t="shared" ref="J20:J108" si="2">+$G20*I20</f>
        <v>37123.94916052121</v>
      </c>
      <c r="K20" s="202">
        <f>+$G20*H20</f>
        <v>52432.120457501136</v>
      </c>
      <c r="L20" s="203">
        <f t="shared" ref="L20:L34" si="3">+J20-K20</f>
        <v>-15308.171296979926</v>
      </c>
      <c r="M20" s="204">
        <f>G20/$G$212*$M$14</f>
        <v>-487.96953283489955</v>
      </c>
      <c r="N20" s="205">
        <f>SUM(L20:M20)</f>
        <v>-15796.140829814825</v>
      </c>
      <c r="O20" s="204">
        <v>0</v>
      </c>
      <c r="P20" s="204">
        <v>0</v>
      </c>
      <c r="Q20" s="204">
        <v>0</v>
      </c>
      <c r="R20" s="205">
        <f>+N20-Q20</f>
        <v>-15796.140829814825</v>
      </c>
    </row>
    <row r="21" spans="1:18" x14ac:dyDescent="0.2">
      <c r="A21" s="161">
        <v>2</v>
      </c>
      <c r="B21" s="196">
        <f t="shared" ref="B21:B108" si="4">DATE($R$1,A21,1)</f>
        <v>44228</v>
      </c>
      <c r="C21" s="197">
        <v>44258</v>
      </c>
      <c r="D21" s="197">
        <v>44279</v>
      </c>
      <c r="E21" s="206" t="s">
        <v>21</v>
      </c>
      <c r="F21" s="161">
        <v>9</v>
      </c>
      <c r="G21" s="199">
        <v>2976</v>
      </c>
      <c r="H21" s="200">
        <f t="shared" ref="H21:H84" si="5">+$K$3</f>
        <v>20.675126363367955</v>
      </c>
      <c r="I21" s="200">
        <f t="shared" si="1"/>
        <v>14.638781214716566</v>
      </c>
      <c r="J21" s="201">
        <f t="shared" si="2"/>
        <v>43565.0128949965</v>
      </c>
      <c r="K21" s="202">
        <f t="shared" ref="K21:K33" si="6">+$G21*H21</f>
        <v>61529.176057383032</v>
      </c>
      <c r="L21" s="203">
        <f t="shared" si="3"/>
        <v>-17964.163162386532</v>
      </c>
      <c r="M21" s="204">
        <f t="shared" ref="M21:M84" si="7">G21/$G$212*$M$14</f>
        <v>-572.63301644978753</v>
      </c>
      <c r="N21" s="205">
        <f t="shared" ref="N21:N84" si="8">SUM(L21:M21)</f>
        <v>-18536.796178836321</v>
      </c>
      <c r="O21" s="204">
        <v>0</v>
      </c>
      <c r="P21" s="204">
        <v>0</v>
      </c>
      <c r="Q21" s="204">
        <v>0</v>
      </c>
      <c r="R21" s="205">
        <f t="shared" ref="R21:R84" si="9">+N21-Q21</f>
        <v>-18536.796178836321</v>
      </c>
    </row>
    <row r="22" spans="1:18" x14ac:dyDescent="0.2">
      <c r="A22" s="161">
        <v>3</v>
      </c>
      <c r="B22" s="196">
        <f t="shared" si="4"/>
        <v>44256</v>
      </c>
      <c r="C22" s="197">
        <v>44291</v>
      </c>
      <c r="D22" s="197">
        <v>44312</v>
      </c>
      <c r="E22" s="206" t="s">
        <v>21</v>
      </c>
      <c r="F22" s="161">
        <v>9</v>
      </c>
      <c r="G22" s="199">
        <v>2203</v>
      </c>
      <c r="H22" s="200">
        <f t="shared" si="5"/>
        <v>20.675126363367955</v>
      </c>
      <c r="I22" s="200">
        <f t="shared" si="1"/>
        <v>14.638781214716566</v>
      </c>
      <c r="J22" s="201">
        <f t="shared" si="2"/>
        <v>32249.235016020597</v>
      </c>
      <c r="K22" s="202">
        <f t="shared" si="6"/>
        <v>45547.303378499608</v>
      </c>
      <c r="L22" s="203">
        <f t="shared" si="3"/>
        <v>-13298.068362479011</v>
      </c>
      <c r="M22" s="204">
        <f t="shared" si="7"/>
        <v>-423.89466909908663</v>
      </c>
      <c r="N22" s="205">
        <f t="shared" si="8"/>
        <v>-13721.963031578098</v>
      </c>
      <c r="O22" s="204">
        <v>0</v>
      </c>
      <c r="P22" s="204">
        <v>0</v>
      </c>
      <c r="Q22" s="204">
        <v>0</v>
      </c>
      <c r="R22" s="205">
        <f t="shared" si="9"/>
        <v>-13721.963031578098</v>
      </c>
    </row>
    <row r="23" spans="1:18" x14ac:dyDescent="0.2">
      <c r="A23" s="124">
        <v>4</v>
      </c>
      <c r="B23" s="196">
        <f t="shared" si="4"/>
        <v>44287</v>
      </c>
      <c r="C23" s="197">
        <v>44321</v>
      </c>
      <c r="D23" s="197">
        <v>44340</v>
      </c>
      <c r="E23" s="206" t="s">
        <v>21</v>
      </c>
      <c r="F23" s="161">
        <v>9</v>
      </c>
      <c r="G23" s="199">
        <v>2146</v>
      </c>
      <c r="H23" s="200">
        <f t="shared" si="5"/>
        <v>20.675126363367955</v>
      </c>
      <c r="I23" s="200">
        <f t="shared" si="1"/>
        <v>14.638781214716566</v>
      </c>
      <c r="J23" s="201">
        <f t="shared" si="2"/>
        <v>31414.824486781752</v>
      </c>
      <c r="K23" s="202">
        <f t="shared" si="6"/>
        <v>44368.821175787634</v>
      </c>
      <c r="L23" s="203">
        <f t="shared" si="3"/>
        <v>-12953.996689005882</v>
      </c>
      <c r="M23" s="204">
        <f t="shared" si="7"/>
        <v>-412.92689963079437</v>
      </c>
      <c r="N23" s="205">
        <f t="shared" si="8"/>
        <v>-13366.923588636677</v>
      </c>
      <c r="O23" s="204">
        <v>0</v>
      </c>
      <c r="P23" s="204">
        <v>0</v>
      </c>
      <c r="Q23" s="204">
        <v>0</v>
      </c>
      <c r="R23" s="205">
        <f t="shared" si="9"/>
        <v>-13366.923588636677</v>
      </c>
    </row>
    <row r="24" spans="1:18" ht="12" customHeight="1" x14ac:dyDescent="0.2">
      <c r="A24" s="161">
        <v>5</v>
      </c>
      <c r="B24" s="196">
        <f t="shared" si="4"/>
        <v>44317</v>
      </c>
      <c r="C24" s="197">
        <v>44350</v>
      </c>
      <c r="D24" s="197">
        <v>44371</v>
      </c>
      <c r="E24" s="54" t="s">
        <v>21</v>
      </c>
      <c r="F24" s="161">
        <v>9</v>
      </c>
      <c r="G24" s="199">
        <v>2961</v>
      </c>
      <c r="H24" s="200">
        <f t="shared" si="5"/>
        <v>20.675126363367955</v>
      </c>
      <c r="I24" s="200">
        <f t="shared" si="1"/>
        <v>14.638781214716566</v>
      </c>
      <c r="J24" s="201">
        <f t="shared" si="2"/>
        <v>43345.431176775754</v>
      </c>
      <c r="K24" s="202">
        <f t="shared" si="6"/>
        <v>61219.049161932511</v>
      </c>
      <c r="L24" s="203">
        <f t="shared" si="3"/>
        <v>-17873.617985156758</v>
      </c>
      <c r="M24" s="204">
        <f t="shared" si="7"/>
        <v>-569.7467613265527</v>
      </c>
      <c r="N24" s="205">
        <f t="shared" si="8"/>
        <v>-18443.364746483312</v>
      </c>
      <c r="O24" s="204">
        <v>0</v>
      </c>
      <c r="P24" s="204">
        <v>0</v>
      </c>
      <c r="Q24" s="204">
        <v>0</v>
      </c>
      <c r="R24" s="205">
        <f t="shared" si="9"/>
        <v>-18443.364746483312</v>
      </c>
    </row>
    <row r="25" spans="1:18" x14ac:dyDescent="0.2">
      <c r="A25" s="161">
        <v>6</v>
      </c>
      <c r="B25" s="196">
        <f t="shared" si="4"/>
        <v>44348</v>
      </c>
      <c r="C25" s="197">
        <v>44383</v>
      </c>
      <c r="D25" s="197">
        <v>44401</v>
      </c>
      <c r="E25" s="54" t="s">
        <v>21</v>
      </c>
      <c r="F25" s="161">
        <v>9</v>
      </c>
      <c r="G25" s="199">
        <v>3827</v>
      </c>
      <c r="H25" s="200">
        <f t="shared" si="5"/>
        <v>20.675126363367955</v>
      </c>
      <c r="I25" s="200">
        <f t="shared" si="1"/>
        <v>14.638781214716566</v>
      </c>
      <c r="J25" s="201">
        <f t="shared" si="2"/>
        <v>56022.615708720296</v>
      </c>
      <c r="K25" s="202">
        <f t="shared" si="6"/>
        <v>79123.708592609168</v>
      </c>
      <c r="L25" s="207">
        <f t="shared" si="3"/>
        <v>-23101.092883888872</v>
      </c>
      <c r="M25" s="204">
        <f t="shared" si="7"/>
        <v>-736.37989044130939</v>
      </c>
      <c r="N25" s="205">
        <f t="shared" si="8"/>
        <v>-23837.472774330181</v>
      </c>
      <c r="O25" s="204">
        <v>0</v>
      </c>
      <c r="P25" s="204">
        <v>0</v>
      </c>
      <c r="Q25" s="204">
        <v>0</v>
      </c>
      <c r="R25" s="205">
        <f t="shared" si="9"/>
        <v>-23837.472774330181</v>
      </c>
    </row>
    <row r="26" spans="1:18" x14ac:dyDescent="0.2">
      <c r="A26" s="124">
        <v>7</v>
      </c>
      <c r="B26" s="196">
        <f t="shared" si="4"/>
        <v>44378</v>
      </c>
      <c r="C26" s="197">
        <v>44412</v>
      </c>
      <c r="D26" s="197">
        <v>44432</v>
      </c>
      <c r="E26" s="54" t="s">
        <v>21</v>
      </c>
      <c r="F26" s="161">
        <v>9</v>
      </c>
      <c r="G26" s="199">
        <v>3938</v>
      </c>
      <c r="H26" s="200">
        <f t="shared" si="5"/>
        <v>20.675126363367955</v>
      </c>
      <c r="I26" s="200">
        <f t="shared" si="1"/>
        <v>14.638781214716566</v>
      </c>
      <c r="J26" s="201">
        <f t="shared" si="2"/>
        <v>57647.52042355384</v>
      </c>
      <c r="K26" s="208">
        <f t="shared" si="6"/>
        <v>81418.64761894301</v>
      </c>
      <c r="L26" s="207">
        <f t="shared" si="3"/>
        <v>-23771.12719538917</v>
      </c>
      <c r="M26" s="204">
        <f t="shared" si="7"/>
        <v>-757.73817835324701</v>
      </c>
      <c r="N26" s="205">
        <f t="shared" si="8"/>
        <v>-24528.865373742417</v>
      </c>
      <c r="O26" s="204">
        <v>0</v>
      </c>
      <c r="P26" s="204">
        <v>0</v>
      </c>
      <c r="Q26" s="204">
        <v>0</v>
      </c>
      <c r="R26" s="205">
        <f t="shared" si="9"/>
        <v>-24528.865373742417</v>
      </c>
    </row>
    <row r="27" spans="1:18" x14ac:dyDescent="0.2">
      <c r="A27" s="161">
        <v>8</v>
      </c>
      <c r="B27" s="196">
        <f t="shared" si="4"/>
        <v>44409</v>
      </c>
      <c r="C27" s="197">
        <v>44442</v>
      </c>
      <c r="D27" s="197">
        <v>44463</v>
      </c>
      <c r="E27" s="54" t="s">
        <v>21</v>
      </c>
      <c r="F27" s="161">
        <v>9</v>
      </c>
      <c r="G27" s="199">
        <v>4002</v>
      </c>
      <c r="H27" s="200">
        <f t="shared" si="5"/>
        <v>20.675126363367955</v>
      </c>
      <c r="I27" s="200">
        <f t="shared" si="1"/>
        <v>14.638781214716566</v>
      </c>
      <c r="J27" s="201">
        <f t="shared" si="2"/>
        <v>58584.402421295701</v>
      </c>
      <c r="K27" s="208">
        <f t="shared" si="6"/>
        <v>82741.855706198563</v>
      </c>
      <c r="L27" s="207">
        <f t="shared" si="3"/>
        <v>-24157.453284902862</v>
      </c>
      <c r="M27" s="204">
        <f t="shared" si="7"/>
        <v>-770.05286687904879</v>
      </c>
      <c r="N27" s="205">
        <f t="shared" si="8"/>
        <v>-24927.506151781912</v>
      </c>
      <c r="O27" s="204">
        <v>0</v>
      </c>
      <c r="P27" s="204">
        <v>0</v>
      </c>
      <c r="Q27" s="204">
        <v>0</v>
      </c>
      <c r="R27" s="205">
        <f t="shared" si="9"/>
        <v>-24927.506151781912</v>
      </c>
    </row>
    <row r="28" spans="1:18" x14ac:dyDescent="0.2">
      <c r="A28" s="161">
        <v>9</v>
      </c>
      <c r="B28" s="196">
        <f t="shared" si="4"/>
        <v>44440</v>
      </c>
      <c r="C28" s="197">
        <v>44474</v>
      </c>
      <c r="D28" s="197">
        <v>44494</v>
      </c>
      <c r="E28" s="54" t="s">
        <v>21</v>
      </c>
      <c r="F28" s="161">
        <v>9</v>
      </c>
      <c r="G28" s="199">
        <v>4029</v>
      </c>
      <c r="H28" s="200">
        <f t="shared" si="5"/>
        <v>20.675126363367955</v>
      </c>
      <c r="I28" s="200">
        <f t="shared" si="1"/>
        <v>14.638781214716566</v>
      </c>
      <c r="J28" s="201">
        <f t="shared" si="2"/>
        <v>58979.649514093042</v>
      </c>
      <c r="K28" s="208">
        <f t="shared" si="6"/>
        <v>83300.084118009487</v>
      </c>
      <c r="L28" s="207">
        <f t="shared" si="3"/>
        <v>-24320.434603916445</v>
      </c>
      <c r="M28" s="204">
        <f t="shared" si="7"/>
        <v>-775.24812610087156</v>
      </c>
      <c r="N28" s="205">
        <f t="shared" si="8"/>
        <v>-25095.682730017317</v>
      </c>
      <c r="O28" s="204">
        <v>0</v>
      </c>
      <c r="P28" s="204">
        <v>0</v>
      </c>
      <c r="Q28" s="204">
        <v>0</v>
      </c>
      <c r="R28" s="205">
        <f t="shared" si="9"/>
        <v>-25095.682730017317</v>
      </c>
    </row>
    <row r="29" spans="1:18" x14ac:dyDescent="0.2">
      <c r="A29" s="124">
        <v>10</v>
      </c>
      <c r="B29" s="196">
        <f t="shared" si="4"/>
        <v>44470</v>
      </c>
      <c r="C29" s="197">
        <v>44503</v>
      </c>
      <c r="D29" s="197">
        <v>44524</v>
      </c>
      <c r="E29" s="54" t="s">
        <v>21</v>
      </c>
      <c r="F29" s="161">
        <v>9</v>
      </c>
      <c r="G29" s="199">
        <v>3123</v>
      </c>
      <c r="H29" s="200">
        <f t="shared" si="5"/>
        <v>20.675126363367955</v>
      </c>
      <c r="I29" s="200">
        <f t="shared" si="1"/>
        <v>14.638781214716566</v>
      </c>
      <c r="J29" s="201">
        <f t="shared" si="2"/>
        <v>45716.913733559835</v>
      </c>
      <c r="K29" s="208">
        <f t="shared" si="6"/>
        <v>64568.419632798126</v>
      </c>
      <c r="L29" s="207">
        <f t="shared" si="3"/>
        <v>-18851.505899238291</v>
      </c>
      <c r="M29" s="204">
        <f t="shared" si="7"/>
        <v>-600.91831665748873</v>
      </c>
      <c r="N29" s="205">
        <f t="shared" si="8"/>
        <v>-19452.424215895779</v>
      </c>
      <c r="O29" s="204">
        <v>0</v>
      </c>
      <c r="P29" s="204">
        <v>0</v>
      </c>
      <c r="Q29" s="204">
        <v>0</v>
      </c>
      <c r="R29" s="205">
        <f t="shared" si="9"/>
        <v>-19452.424215895779</v>
      </c>
    </row>
    <row r="30" spans="1:18" x14ac:dyDescent="0.2">
      <c r="A30" s="161">
        <v>11</v>
      </c>
      <c r="B30" s="196">
        <f t="shared" si="4"/>
        <v>44501</v>
      </c>
      <c r="C30" s="197">
        <v>44533</v>
      </c>
      <c r="D30" s="197">
        <v>44557</v>
      </c>
      <c r="E30" s="54" t="s">
        <v>21</v>
      </c>
      <c r="F30" s="161">
        <v>9</v>
      </c>
      <c r="G30" s="199">
        <v>2263</v>
      </c>
      <c r="H30" s="200">
        <f t="shared" si="5"/>
        <v>20.675126363367955</v>
      </c>
      <c r="I30" s="200">
        <f t="shared" si="1"/>
        <v>14.638781214716566</v>
      </c>
      <c r="J30" s="201">
        <f t="shared" si="2"/>
        <v>33127.56188890359</v>
      </c>
      <c r="K30" s="208">
        <f t="shared" si="6"/>
        <v>46787.810960301686</v>
      </c>
      <c r="L30" s="207">
        <f t="shared" si="3"/>
        <v>-13660.249071398095</v>
      </c>
      <c r="M30" s="204">
        <f t="shared" si="7"/>
        <v>-435.4396895920259</v>
      </c>
      <c r="N30" s="205">
        <f t="shared" si="8"/>
        <v>-14095.68876099012</v>
      </c>
      <c r="O30" s="204">
        <v>0</v>
      </c>
      <c r="P30" s="204">
        <v>0</v>
      </c>
      <c r="Q30" s="204">
        <v>0</v>
      </c>
      <c r="R30" s="205">
        <f t="shared" si="9"/>
        <v>-14095.68876099012</v>
      </c>
    </row>
    <row r="31" spans="1:18" x14ac:dyDescent="0.2">
      <c r="A31" s="161">
        <v>12</v>
      </c>
      <c r="B31" s="196">
        <f t="shared" si="4"/>
        <v>44531</v>
      </c>
      <c r="C31" s="209">
        <v>44566</v>
      </c>
      <c r="D31" s="210">
        <v>44585</v>
      </c>
      <c r="E31" s="54" t="s">
        <v>21</v>
      </c>
      <c r="F31" s="161">
        <v>9</v>
      </c>
      <c r="G31" s="211">
        <v>2379</v>
      </c>
      <c r="H31" s="212">
        <f t="shared" si="5"/>
        <v>20.675126363367955</v>
      </c>
      <c r="I31" s="212">
        <f t="shared" si="1"/>
        <v>14.638781214716566</v>
      </c>
      <c r="J31" s="213">
        <f t="shared" si="2"/>
        <v>34825.66050981071</v>
      </c>
      <c r="K31" s="214">
        <f t="shared" si="6"/>
        <v>49186.125618452366</v>
      </c>
      <c r="L31" s="215">
        <f t="shared" si="3"/>
        <v>-14360.465108641656</v>
      </c>
      <c r="M31" s="204">
        <f t="shared" si="7"/>
        <v>-457.76006254504176</v>
      </c>
      <c r="N31" s="205">
        <f t="shared" si="8"/>
        <v>-14818.225171186697</v>
      </c>
      <c r="O31" s="204">
        <v>0</v>
      </c>
      <c r="P31" s="204">
        <v>0</v>
      </c>
      <c r="Q31" s="204">
        <v>0</v>
      </c>
      <c r="R31" s="205">
        <f t="shared" si="9"/>
        <v>-14818.225171186697</v>
      </c>
    </row>
    <row r="32" spans="1:18" x14ac:dyDescent="0.2">
      <c r="A32" s="124">
        <v>1</v>
      </c>
      <c r="B32" s="216">
        <f t="shared" si="4"/>
        <v>44197</v>
      </c>
      <c r="C32" s="217">
        <f t="shared" ref="C32:D43" si="10">+C20</f>
        <v>44230</v>
      </c>
      <c r="D32" s="217">
        <f t="shared" si="10"/>
        <v>44251</v>
      </c>
      <c r="E32" s="218" t="s">
        <v>22</v>
      </c>
      <c r="F32" s="219">
        <v>9</v>
      </c>
      <c r="G32" s="199">
        <v>2771</v>
      </c>
      <c r="H32" s="200">
        <f t="shared" si="5"/>
        <v>20.675126363367955</v>
      </c>
      <c r="I32" s="200">
        <f t="shared" si="1"/>
        <v>14.638781214716566</v>
      </c>
      <c r="J32" s="201">
        <f t="shared" si="2"/>
        <v>40564.062745979601</v>
      </c>
      <c r="K32" s="202">
        <f t="shared" si="6"/>
        <v>57290.775152892602</v>
      </c>
      <c r="L32" s="203">
        <f t="shared" si="3"/>
        <v>-16726.712406913</v>
      </c>
      <c r="M32" s="204">
        <f t="shared" si="7"/>
        <v>-533.18752976557835</v>
      </c>
      <c r="N32" s="205">
        <f t="shared" si="8"/>
        <v>-17259.899936678579</v>
      </c>
      <c r="O32" s="204">
        <v>0</v>
      </c>
      <c r="P32" s="204">
        <v>0</v>
      </c>
      <c r="Q32" s="204">
        <v>0</v>
      </c>
      <c r="R32" s="205">
        <f t="shared" si="9"/>
        <v>-17259.899936678579</v>
      </c>
    </row>
    <row r="33" spans="1:18" x14ac:dyDescent="0.2">
      <c r="A33" s="161">
        <v>2</v>
      </c>
      <c r="B33" s="196">
        <f t="shared" si="4"/>
        <v>44228</v>
      </c>
      <c r="C33" s="220">
        <f t="shared" si="10"/>
        <v>44258</v>
      </c>
      <c r="D33" s="220">
        <f t="shared" si="10"/>
        <v>44279</v>
      </c>
      <c r="E33" s="206" t="s">
        <v>22</v>
      </c>
      <c r="F33" s="161">
        <v>9</v>
      </c>
      <c r="G33" s="199">
        <v>3136</v>
      </c>
      <c r="H33" s="200">
        <f t="shared" si="5"/>
        <v>20.675126363367955</v>
      </c>
      <c r="I33" s="200">
        <f t="shared" si="1"/>
        <v>14.638781214716566</v>
      </c>
      <c r="J33" s="201">
        <f t="shared" si="2"/>
        <v>45907.217889351152</v>
      </c>
      <c r="K33" s="202">
        <f t="shared" si="6"/>
        <v>64837.196275521907</v>
      </c>
      <c r="L33" s="203">
        <f t="shared" si="3"/>
        <v>-18929.978386170755</v>
      </c>
      <c r="M33" s="204">
        <f t="shared" si="7"/>
        <v>-603.41973776429222</v>
      </c>
      <c r="N33" s="205">
        <f t="shared" si="8"/>
        <v>-19533.398123935047</v>
      </c>
      <c r="O33" s="204">
        <v>0</v>
      </c>
      <c r="P33" s="204">
        <v>0</v>
      </c>
      <c r="Q33" s="204">
        <v>0</v>
      </c>
      <c r="R33" s="205">
        <f t="shared" si="9"/>
        <v>-19533.398123935047</v>
      </c>
    </row>
    <row r="34" spans="1:18" x14ac:dyDescent="0.2">
      <c r="A34" s="161">
        <v>3</v>
      </c>
      <c r="B34" s="196">
        <f t="shared" si="4"/>
        <v>44256</v>
      </c>
      <c r="C34" s="220">
        <f t="shared" si="10"/>
        <v>44291</v>
      </c>
      <c r="D34" s="220">
        <f t="shared" si="10"/>
        <v>44312</v>
      </c>
      <c r="E34" s="206" t="s">
        <v>22</v>
      </c>
      <c r="F34" s="161">
        <v>9</v>
      </c>
      <c r="G34" s="199">
        <v>2339</v>
      </c>
      <c r="H34" s="200">
        <f t="shared" si="5"/>
        <v>20.675126363367955</v>
      </c>
      <c r="I34" s="200">
        <f t="shared" si="1"/>
        <v>14.638781214716566</v>
      </c>
      <c r="J34" s="201">
        <f t="shared" si="2"/>
        <v>34240.109261222045</v>
      </c>
      <c r="K34" s="202">
        <f t="shared" ref="K34:K93" si="11">+$G34*H34</f>
        <v>48359.120563917648</v>
      </c>
      <c r="L34" s="203">
        <f t="shared" si="3"/>
        <v>-14119.011302695602</v>
      </c>
      <c r="M34" s="204">
        <f t="shared" si="7"/>
        <v>-450.06338221641562</v>
      </c>
      <c r="N34" s="205">
        <f t="shared" si="8"/>
        <v>-14569.074684912019</v>
      </c>
      <c r="O34" s="204">
        <v>0</v>
      </c>
      <c r="P34" s="204">
        <v>0</v>
      </c>
      <c r="Q34" s="204">
        <v>0</v>
      </c>
      <c r="R34" s="205">
        <f t="shared" si="9"/>
        <v>-14569.074684912019</v>
      </c>
    </row>
    <row r="35" spans="1:18" x14ac:dyDescent="0.2">
      <c r="A35" s="124">
        <v>4</v>
      </c>
      <c r="B35" s="196">
        <f t="shared" si="4"/>
        <v>44287</v>
      </c>
      <c r="C35" s="220">
        <f t="shared" si="10"/>
        <v>44321</v>
      </c>
      <c r="D35" s="220">
        <f t="shared" si="10"/>
        <v>44340</v>
      </c>
      <c r="E35" s="206" t="s">
        <v>22</v>
      </c>
      <c r="F35" s="161">
        <v>9</v>
      </c>
      <c r="G35" s="199">
        <v>2394</v>
      </c>
      <c r="H35" s="200">
        <f t="shared" si="5"/>
        <v>20.675126363367955</v>
      </c>
      <c r="I35" s="200">
        <f t="shared" si="1"/>
        <v>14.638781214716566</v>
      </c>
      <c r="J35" s="201">
        <f t="shared" si="2"/>
        <v>35045.242228031457</v>
      </c>
      <c r="K35" s="202">
        <f t="shared" si="11"/>
        <v>49496.252513902888</v>
      </c>
      <c r="L35" s="203">
        <f t="shared" ref="L35:L57" si="12">+J35-K35</f>
        <v>-14451.010285871431</v>
      </c>
      <c r="M35" s="204">
        <f t="shared" si="7"/>
        <v>-460.64631766827659</v>
      </c>
      <c r="N35" s="205">
        <f t="shared" si="8"/>
        <v>-14911.656603539708</v>
      </c>
      <c r="O35" s="204">
        <v>0</v>
      </c>
      <c r="P35" s="204">
        <v>0</v>
      </c>
      <c r="Q35" s="204">
        <v>0</v>
      </c>
      <c r="R35" s="205">
        <f t="shared" si="9"/>
        <v>-14911.656603539708</v>
      </c>
    </row>
    <row r="36" spans="1:18" x14ac:dyDescent="0.2">
      <c r="A36" s="161">
        <v>5</v>
      </c>
      <c r="B36" s="196">
        <f t="shared" si="4"/>
        <v>44317</v>
      </c>
      <c r="C36" s="220">
        <f t="shared" si="10"/>
        <v>44350</v>
      </c>
      <c r="D36" s="220">
        <f t="shared" si="10"/>
        <v>44371</v>
      </c>
      <c r="E36" s="54" t="s">
        <v>22</v>
      </c>
      <c r="F36" s="161">
        <v>9</v>
      </c>
      <c r="G36" s="199">
        <v>2807</v>
      </c>
      <c r="H36" s="200">
        <f t="shared" si="5"/>
        <v>20.675126363367955</v>
      </c>
      <c r="I36" s="200">
        <f t="shared" si="1"/>
        <v>14.638781214716566</v>
      </c>
      <c r="J36" s="201">
        <f t="shared" si="2"/>
        <v>41091.058869709399</v>
      </c>
      <c r="K36" s="202">
        <f t="shared" si="11"/>
        <v>58035.079701973853</v>
      </c>
      <c r="L36" s="203">
        <f t="shared" si="12"/>
        <v>-16944.020832264454</v>
      </c>
      <c r="M36" s="204">
        <f t="shared" si="7"/>
        <v>-540.11454206134181</v>
      </c>
      <c r="N36" s="205">
        <f t="shared" si="8"/>
        <v>-17484.135374325797</v>
      </c>
      <c r="O36" s="204">
        <v>0</v>
      </c>
      <c r="P36" s="204">
        <v>0</v>
      </c>
      <c r="Q36" s="204">
        <v>0</v>
      </c>
      <c r="R36" s="205">
        <f t="shared" si="9"/>
        <v>-17484.135374325797</v>
      </c>
    </row>
    <row r="37" spans="1:18" x14ac:dyDescent="0.2">
      <c r="A37" s="161">
        <v>6</v>
      </c>
      <c r="B37" s="196">
        <f t="shared" si="4"/>
        <v>44348</v>
      </c>
      <c r="C37" s="220">
        <f t="shared" si="10"/>
        <v>44383</v>
      </c>
      <c r="D37" s="220">
        <f t="shared" si="10"/>
        <v>44401</v>
      </c>
      <c r="E37" s="54" t="s">
        <v>22</v>
      </c>
      <c r="F37" s="161">
        <v>9</v>
      </c>
      <c r="G37" s="199">
        <v>3345</v>
      </c>
      <c r="H37" s="200">
        <f t="shared" si="5"/>
        <v>20.675126363367955</v>
      </c>
      <c r="I37" s="200">
        <f t="shared" si="1"/>
        <v>14.638781214716566</v>
      </c>
      <c r="J37" s="201">
        <f t="shared" si="2"/>
        <v>48966.72316322691</v>
      </c>
      <c r="K37" s="202">
        <f t="shared" si="11"/>
        <v>69158.297685465805</v>
      </c>
      <c r="L37" s="207">
        <f t="shared" si="12"/>
        <v>-20191.574522238894</v>
      </c>
      <c r="M37" s="204">
        <f t="shared" si="7"/>
        <v>-643.63489248136398</v>
      </c>
      <c r="N37" s="205">
        <f t="shared" si="8"/>
        <v>-20835.209414720259</v>
      </c>
      <c r="O37" s="204">
        <v>0</v>
      </c>
      <c r="P37" s="204">
        <v>0</v>
      </c>
      <c r="Q37" s="204">
        <v>0</v>
      </c>
      <c r="R37" s="205">
        <f t="shared" si="9"/>
        <v>-20835.209414720259</v>
      </c>
    </row>
    <row r="38" spans="1:18" x14ac:dyDescent="0.2">
      <c r="A38" s="124">
        <v>7</v>
      </c>
      <c r="B38" s="196">
        <f t="shared" si="4"/>
        <v>44378</v>
      </c>
      <c r="C38" s="220">
        <f t="shared" si="10"/>
        <v>44412</v>
      </c>
      <c r="D38" s="220">
        <f t="shared" si="10"/>
        <v>44432</v>
      </c>
      <c r="E38" s="54" t="s">
        <v>22</v>
      </c>
      <c r="F38" s="161">
        <v>9</v>
      </c>
      <c r="G38" s="199">
        <v>3525</v>
      </c>
      <c r="H38" s="200">
        <f t="shared" si="5"/>
        <v>20.675126363367955</v>
      </c>
      <c r="I38" s="200">
        <f t="shared" si="1"/>
        <v>14.638781214716566</v>
      </c>
      <c r="J38" s="201">
        <f t="shared" si="2"/>
        <v>51601.703781875898</v>
      </c>
      <c r="K38" s="208">
        <f t="shared" si="11"/>
        <v>72879.820430872045</v>
      </c>
      <c r="L38" s="207">
        <f t="shared" si="12"/>
        <v>-21278.116648996147</v>
      </c>
      <c r="M38" s="204">
        <f t="shared" si="7"/>
        <v>-678.26995396018174</v>
      </c>
      <c r="N38" s="205">
        <f t="shared" si="8"/>
        <v>-21956.386602956329</v>
      </c>
      <c r="O38" s="204">
        <v>0</v>
      </c>
      <c r="P38" s="204">
        <v>0</v>
      </c>
      <c r="Q38" s="204">
        <v>0</v>
      </c>
      <c r="R38" s="205">
        <f t="shared" si="9"/>
        <v>-21956.386602956329</v>
      </c>
    </row>
    <row r="39" spans="1:18" x14ac:dyDescent="0.2">
      <c r="A39" s="161">
        <v>8</v>
      </c>
      <c r="B39" s="196">
        <f t="shared" si="4"/>
        <v>44409</v>
      </c>
      <c r="C39" s="220">
        <f t="shared" si="10"/>
        <v>44442</v>
      </c>
      <c r="D39" s="220">
        <f t="shared" si="10"/>
        <v>44463</v>
      </c>
      <c r="E39" s="54" t="s">
        <v>22</v>
      </c>
      <c r="F39" s="161">
        <v>9</v>
      </c>
      <c r="G39" s="199">
        <v>3514</v>
      </c>
      <c r="H39" s="200">
        <f t="shared" si="5"/>
        <v>20.675126363367955</v>
      </c>
      <c r="I39" s="200">
        <f t="shared" si="1"/>
        <v>14.638781214716566</v>
      </c>
      <c r="J39" s="201">
        <f t="shared" si="2"/>
        <v>51440.677188514012</v>
      </c>
      <c r="K39" s="208">
        <f t="shared" si="11"/>
        <v>72652.394040874991</v>
      </c>
      <c r="L39" s="207">
        <f t="shared" si="12"/>
        <v>-21211.71685236098</v>
      </c>
      <c r="M39" s="204">
        <f t="shared" si="7"/>
        <v>-676.15336686980947</v>
      </c>
      <c r="N39" s="205">
        <f t="shared" si="8"/>
        <v>-21887.87021923079</v>
      </c>
      <c r="O39" s="204">
        <v>0</v>
      </c>
      <c r="P39" s="204">
        <v>0</v>
      </c>
      <c r="Q39" s="204">
        <v>0</v>
      </c>
      <c r="R39" s="205">
        <f t="shared" si="9"/>
        <v>-21887.87021923079</v>
      </c>
    </row>
    <row r="40" spans="1:18" x14ac:dyDescent="0.2">
      <c r="A40" s="161">
        <v>9</v>
      </c>
      <c r="B40" s="196">
        <f t="shared" si="4"/>
        <v>44440</v>
      </c>
      <c r="C40" s="220">
        <f t="shared" si="10"/>
        <v>44474</v>
      </c>
      <c r="D40" s="220">
        <f t="shared" si="10"/>
        <v>44494</v>
      </c>
      <c r="E40" s="54" t="s">
        <v>22</v>
      </c>
      <c r="F40" s="161">
        <v>9</v>
      </c>
      <c r="G40" s="199">
        <v>3486</v>
      </c>
      <c r="H40" s="200">
        <f t="shared" si="5"/>
        <v>20.675126363367955</v>
      </c>
      <c r="I40" s="200">
        <f t="shared" si="1"/>
        <v>14.638781214716566</v>
      </c>
      <c r="J40" s="201">
        <f t="shared" si="2"/>
        <v>51030.791314501948</v>
      </c>
      <c r="K40" s="208">
        <f t="shared" si="11"/>
        <v>72073.49050270069</v>
      </c>
      <c r="L40" s="207">
        <f t="shared" si="12"/>
        <v>-21042.699188198741</v>
      </c>
      <c r="M40" s="204">
        <f t="shared" si="7"/>
        <v>-670.76569063977126</v>
      </c>
      <c r="N40" s="205">
        <f t="shared" si="8"/>
        <v>-21713.464878838513</v>
      </c>
      <c r="O40" s="204">
        <v>0</v>
      </c>
      <c r="P40" s="204">
        <v>0</v>
      </c>
      <c r="Q40" s="204">
        <v>0</v>
      </c>
      <c r="R40" s="205">
        <f t="shared" si="9"/>
        <v>-21713.464878838513</v>
      </c>
    </row>
    <row r="41" spans="1:18" x14ac:dyDescent="0.2">
      <c r="A41" s="124">
        <v>10</v>
      </c>
      <c r="B41" s="196">
        <f t="shared" si="4"/>
        <v>44470</v>
      </c>
      <c r="C41" s="220">
        <f t="shared" si="10"/>
        <v>44503</v>
      </c>
      <c r="D41" s="220">
        <f t="shared" si="10"/>
        <v>44524</v>
      </c>
      <c r="E41" s="54" t="s">
        <v>22</v>
      </c>
      <c r="F41" s="161">
        <v>9</v>
      </c>
      <c r="G41" s="199">
        <v>2777</v>
      </c>
      <c r="H41" s="200">
        <f t="shared" si="5"/>
        <v>20.675126363367955</v>
      </c>
      <c r="I41" s="200">
        <f t="shared" si="1"/>
        <v>14.638781214716566</v>
      </c>
      <c r="J41" s="201">
        <f t="shared" si="2"/>
        <v>40651.895433267906</v>
      </c>
      <c r="K41" s="208">
        <f t="shared" si="11"/>
        <v>57414.82591107281</v>
      </c>
      <c r="L41" s="207">
        <f t="shared" si="12"/>
        <v>-16762.930477804905</v>
      </c>
      <c r="M41" s="204">
        <f t="shared" si="7"/>
        <v>-534.34203181487226</v>
      </c>
      <c r="N41" s="205">
        <f t="shared" si="8"/>
        <v>-17297.272509619776</v>
      </c>
      <c r="O41" s="204">
        <v>0</v>
      </c>
      <c r="P41" s="204">
        <v>0</v>
      </c>
      <c r="Q41" s="204">
        <v>0</v>
      </c>
      <c r="R41" s="205">
        <f t="shared" si="9"/>
        <v>-17297.272509619776</v>
      </c>
    </row>
    <row r="42" spans="1:18" x14ac:dyDescent="0.2">
      <c r="A42" s="161">
        <v>11</v>
      </c>
      <c r="B42" s="196">
        <f t="shared" si="4"/>
        <v>44501</v>
      </c>
      <c r="C42" s="220">
        <f t="shared" si="10"/>
        <v>44533</v>
      </c>
      <c r="D42" s="220">
        <f t="shared" si="10"/>
        <v>44557</v>
      </c>
      <c r="E42" s="54" t="s">
        <v>22</v>
      </c>
      <c r="F42" s="161">
        <v>9</v>
      </c>
      <c r="G42" s="199">
        <v>2284</v>
      </c>
      <c r="H42" s="200">
        <f t="shared" si="5"/>
        <v>20.675126363367955</v>
      </c>
      <c r="I42" s="200">
        <f t="shared" si="1"/>
        <v>14.638781214716566</v>
      </c>
      <c r="J42" s="201">
        <f t="shared" si="2"/>
        <v>33434.976294412634</v>
      </c>
      <c r="K42" s="208">
        <f t="shared" si="11"/>
        <v>47221.988613932408</v>
      </c>
      <c r="L42" s="207">
        <f t="shared" si="12"/>
        <v>-13787.012319519774</v>
      </c>
      <c r="M42" s="204">
        <f t="shared" si="7"/>
        <v>-439.48044676455464</v>
      </c>
      <c r="N42" s="205">
        <f t="shared" si="8"/>
        <v>-14226.492766284329</v>
      </c>
      <c r="O42" s="204">
        <v>0</v>
      </c>
      <c r="P42" s="204">
        <v>0</v>
      </c>
      <c r="Q42" s="204">
        <v>0</v>
      </c>
      <c r="R42" s="205">
        <f t="shared" si="9"/>
        <v>-14226.492766284329</v>
      </c>
    </row>
    <row r="43" spans="1:18" x14ac:dyDescent="0.2">
      <c r="A43" s="161">
        <v>12</v>
      </c>
      <c r="B43" s="196">
        <f t="shared" si="4"/>
        <v>44531</v>
      </c>
      <c r="C43" s="220">
        <f t="shared" si="10"/>
        <v>44566</v>
      </c>
      <c r="D43" s="220">
        <f t="shared" si="10"/>
        <v>44585</v>
      </c>
      <c r="E43" s="54" t="s">
        <v>22</v>
      </c>
      <c r="F43" s="161">
        <v>9</v>
      </c>
      <c r="G43" s="211">
        <v>2425</v>
      </c>
      <c r="H43" s="212">
        <f t="shared" si="5"/>
        <v>20.675126363367955</v>
      </c>
      <c r="I43" s="212">
        <f t="shared" si="1"/>
        <v>14.638781214716566</v>
      </c>
      <c r="J43" s="213">
        <f t="shared" si="2"/>
        <v>35499.044445687672</v>
      </c>
      <c r="K43" s="214">
        <f t="shared" si="11"/>
        <v>50137.181431167293</v>
      </c>
      <c r="L43" s="215">
        <f t="shared" si="12"/>
        <v>-14638.136985479621</v>
      </c>
      <c r="M43" s="204">
        <f t="shared" si="7"/>
        <v>-466.61124492296193</v>
      </c>
      <c r="N43" s="205">
        <f t="shared" si="8"/>
        <v>-15104.748230402583</v>
      </c>
      <c r="O43" s="204">
        <v>0</v>
      </c>
      <c r="P43" s="204">
        <v>0</v>
      </c>
      <c r="Q43" s="204">
        <v>0</v>
      </c>
      <c r="R43" s="205">
        <f t="shared" si="9"/>
        <v>-15104.748230402583</v>
      </c>
    </row>
    <row r="44" spans="1:18" x14ac:dyDescent="0.2">
      <c r="A44" s="124">
        <v>1</v>
      </c>
      <c r="B44" s="216">
        <f t="shared" ref="B44:B55" si="13">DATE($R$1,A44,1)</f>
        <v>44197</v>
      </c>
      <c r="C44" s="217">
        <f t="shared" ref="C44:D55" si="14">+C32</f>
        <v>44230</v>
      </c>
      <c r="D44" s="217">
        <f t="shared" si="14"/>
        <v>44251</v>
      </c>
      <c r="E44" s="218" t="s">
        <v>80</v>
      </c>
      <c r="F44" s="219">
        <v>9</v>
      </c>
      <c r="G44" s="199">
        <v>146</v>
      </c>
      <c r="H44" s="200">
        <f t="shared" si="5"/>
        <v>20.675126363367955</v>
      </c>
      <c r="I44" s="200">
        <f t="shared" si="1"/>
        <v>14.638781214716566</v>
      </c>
      <c r="J44" s="204">
        <f t="shared" ref="J44:J55" si="15">+$G44*I44</f>
        <v>2137.2620573486188</v>
      </c>
      <c r="K44" s="208">
        <f t="shared" ref="K44:K55" si="16">+$G44*H44</f>
        <v>3018.5684490517215</v>
      </c>
      <c r="L44" s="207">
        <f t="shared" ref="L44:L55" si="17">+J44-K44</f>
        <v>-881.30639170310269</v>
      </c>
      <c r="M44" s="204">
        <f t="shared" si="7"/>
        <v>-28.092883199485541</v>
      </c>
      <c r="N44" s="205">
        <f t="shared" si="8"/>
        <v>-909.39927490258822</v>
      </c>
      <c r="O44" s="204">
        <v>0</v>
      </c>
      <c r="P44" s="204">
        <v>0</v>
      </c>
      <c r="Q44" s="204">
        <v>0</v>
      </c>
      <c r="R44" s="205">
        <f t="shared" si="9"/>
        <v>-909.39927490258822</v>
      </c>
    </row>
    <row r="45" spans="1:18" x14ac:dyDescent="0.2">
      <c r="A45" s="161">
        <v>2</v>
      </c>
      <c r="B45" s="196">
        <f t="shared" si="13"/>
        <v>44228</v>
      </c>
      <c r="C45" s="220">
        <f t="shared" si="14"/>
        <v>44258</v>
      </c>
      <c r="D45" s="220">
        <f t="shared" si="14"/>
        <v>44279</v>
      </c>
      <c r="E45" s="206" t="s">
        <v>80</v>
      </c>
      <c r="F45" s="161">
        <v>9</v>
      </c>
      <c r="G45" s="199">
        <v>212</v>
      </c>
      <c r="H45" s="200">
        <f t="shared" si="5"/>
        <v>20.675126363367955</v>
      </c>
      <c r="I45" s="200">
        <f t="shared" si="1"/>
        <v>14.638781214716566</v>
      </c>
      <c r="J45" s="204">
        <f t="shared" si="15"/>
        <v>3103.4216175199122</v>
      </c>
      <c r="K45" s="208">
        <f t="shared" si="16"/>
        <v>4383.1267890340068</v>
      </c>
      <c r="L45" s="207">
        <f t="shared" si="17"/>
        <v>-1279.7051715140947</v>
      </c>
      <c r="M45" s="204">
        <f t="shared" si="7"/>
        <v>-40.792405741718731</v>
      </c>
      <c r="N45" s="205">
        <f t="shared" si="8"/>
        <v>-1320.4975772558134</v>
      </c>
      <c r="O45" s="204">
        <v>0</v>
      </c>
      <c r="P45" s="204">
        <v>0</v>
      </c>
      <c r="Q45" s="204">
        <v>0</v>
      </c>
      <c r="R45" s="205">
        <f t="shared" si="9"/>
        <v>-1320.4975772558134</v>
      </c>
    </row>
    <row r="46" spans="1:18" x14ac:dyDescent="0.2">
      <c r="A46" s="161">
        <v>3</v>
      </c>
      <c r="B46" s="196">
        <f t="shared" si="13"/>
        <v>44256</v>
      </c>
      <c r="C46" s="220">
        <f t="shared" si="14"/>
        <v>44291</v>
      </c>
      <c r="D46" s="220">
        <f t="shared" si="14"/>
        <v>44312</v>
      </c>
      <c r="E46" s="206" t="s">
        <v>80</v>
      </c>
      <c r="F46" s="161">
        <v>9</v>
      </c>
      <c r="G46" s="199">
        <v>125</v>
      </c>
      <c r="H46" s="200">
        <f t="shared" si="5"/>
        <v>20.675126363367955</v>
      </c>
      <c r="I46" s="200">
        <f t="shared" si="1"/>
        <v>14.638781214716566</v>
      </c>
      <c r="J46" s="204">
        <f t="shared" si="15"/>
        <v>1829.8476518395707</v>
      </c>
      <c r="K46" s="208">
        <f t="shared" si="16"/>
        <v>2584.3907954209944</v>
      </c>
      <c r="L46" s="207">
        <f t="shared" si="17"/>
        <v>-754.54314358142369</v>
      </c>
      <c r="M46" s="204">
        <f t="shared" si="7"/>
        <v>-24.052126026956799</v>
      </c>
      <c r="N46" s="205">
        <f t="shared" si="8"/>
        <v>-778.59526960838048</v>
      </c>
      <c r="O46" s="204">
        <v>0</v>
      </c>
      <c r="P46" s="204">
        <v>0</v>
      </c>
      <c r="Q46" s="204">
        <v>0</v>
      </c>
      <c r="R46" s="205">
        <f t="shared" si="9"/>
        <v>-778.59526960838048</v>
      </c>
    </row>
    <row r="47" spans="1:18" x14ac:dyDescent="0.2">
      <c r="A47" s="124">
        <v>4</v>
      </c>
      <c r="B47" s="196">
        <f t="shared" si="13"/>
        <v>44287</v>
      </c>
      <c r="C47" s="220">
        <f t="shared" si="14"/>
        <v>44321</v>
      </c>
      <c r="D47" s="220">
        <f t="shared" si="14"/>
        <v>44340</v>
      </c>
      <c r="E47" s="206" t="s">
        <v>80</v>
      </c>
      <c r="F47" s="161">
        <v>9</v>
      </c>
      <c r="G47" s="199">
        <v>92</v>
      </c>
      <c r="H47" s="200">
        <f t="shared" si="5"/>
        <v>20.675126363367955</v>
      </c>
      <c r="I47" s="200">
        <f t="shared" si="1"/>
        <v>14.638781214716566</v>
      </c>
      <c r="J47" s="204">
        <f t="shared" si="15"/>
        <v>1346.7678717539241</v>
      </c>
      <c r="K47" s="208">
        <f t="shared" si="16"/>
        <v>1902.1116254298518</v>
      </c>
      <c r="L47" s="207">
        <f t="shared" si="17"/>
        <v>-555.3437536759277</v>
      </c>
      <c r="M47" s="204">
        <f t="shared" si="7"/>
        <v>-17.702364755840204</v>
      </c>
      <c r="N47" s="205">
        <f t="shared" si="8"/>
        <v>-573.04611843176792</v>
      </c>
      <c r="O47" s="204">
        <v>0</v>
      </c>
      <c r="P47" s="204">
        <v>0</v>
      </c>
      <c r="Q47" s="204">
        <v>0</v>
      </c>
      <c r="R47" s="205">
        <f t="shared" si="9"/>
        <v>-573.04611843176792</v>
      </c>
    </row>
    <row r="48" spans="1:18" x14ac:dyDescent="0.2">
      <c r="A48" s="161">
        <v>5</v>
      </c>
      <c r="B48" s="196">
        <f t="shared" si="13"/>
        <v>44317</v>
      </c>
      <c r="C48" s="220">
        <f t="shared" si="14"/>
        <v>44350</v>
      </c>
      <c r="D48" s="220">
        <f t="shared" si="14"/>
        <v>44371</v>
      </c>
      <c r="E48" s="206" t="s">
        <v>80</v>
      </c>
      <c r="F48" s="161">
        <v>9</v>
      </c>
      <c r="G48" s="199">
        <v>102</v>
      </c>
      <c r="H48" s="200">
        <f t="shared" si="5"/>
        <v>20.675126363367955</v>
      </c>
      <c r="I48" s="200">
        <f t="shared" si="1"/>
        <v>14.638781214716566</v>
      </c>
      <c r="J48" s="204">
        <f t="shared" si="15"/>
        <v>1493.1556839010898</v>
      </c>
      <c r="K48" s="208">
        <f t="shared" si="16"/>
        <v>2108.8628890635314</v>
      </c>
      <c r="L48" s="207">
        <f t="shared" si="17"/>
        <v>-615.7072051624416</v>
      </c>
      <c r="M48" s="204">
        <f t="shared" si="7"/>
        <v>-19.626534837996751</v>
      </c>
      <c r="N48" s="205">
        <f t="shared" si="8"/>
        <v>-635.3337400004383</v>
      </c>
      <c r="O48" s="204">
        <v>0</v>
      </c>
      <c r="P48" s="204">
        <v>0</v>
      </c>
      <c r="Q48" s="204">
        <v>0</v>
      </c>
      <c r="R48" s="205">
        <f t="shared" si="9"/>
        <v>-635.3337400004383</v>
      </c>
    </row>
    <row r="49" spans="1:18" x14ac:dyDescent="0.2">
      <c r="A49" s="161">
        <v>6</v>
      </c>
      <c r="B49" s="196">
        <f t="shared" si="13"/>
        <v>44348</v>
      </c>
      <c r="C49" s="220">
        <f t="shared" si="14"/>
        <v>44383</v>
      </c>
      <c r="D49" s="220">
        <f t="shared" si="14"/>
        <v>44401</v>
      </c>
      <c r="E49" s="206" t="s">
        <v>80</v>
      </c>
      <c r="F49" s="161">
        <v>9</v>
      </c>
      <c r="G49" s="199">
        <v>124</v>
      </c>
      <c r="H49" s="200">
        <f t="shared" si="5"/>
        <v>20.675126363367955</v>
      </c>
      <c r="I49" s="200">
        <f t="shared" si="1"/>
        <v>14.638781214716566</v>
      </c>
      <c r="J49" s="204">
        <f t="shared" si="15"/>
        <v>1815.2088706248542</v>
      </c>
      <c r="K49" s="208">
        <f t="shared" si="16"/>
        <v>2563.7156690576262</v>
      </c>
      <c r="L49" s="207">
        <f t="shared" si="17"/>
        <v>-748.50679843277203</v>
      </c>
      <c r="M49" s="204">
        <f t="shared" si="7"/>
        <v>-23.859709018741142</v>
      </c>
      <c r="N49" s="205">
        <f t="shared" si="8"/>
        <v>-772.36650745151314</v>
      </c>
      <c r="O49" s="204">
        <v>0</v>
      </c>
      <c r="P49" s="204">
        <v>0</v>
      </c>
      <c r="Q49" s="204">
        <v>0</v>
      </c>
      <c r="R49" s="205">
        <f t="shared" si="9"/>
        <v>-772.36650745151314</v>
      </c>
    </row>
    <row r="50" spans="1:18" x14ac:dyDescent="0.2">
      <c r="A50" s="124">
        <v>7</v>
      </c>
      <c r="B50" s="196">
        <f t="shared" si="13"/>
        <v>44378</v>
      </c>
      <c r="C50" s="220">
        <f t="shared" si="14"/>
        <v>44412</v>
      </c>
      <c r="D50" s="220">
        <f t="shared" si="14"/>
        <v>44432</v>
      </c>
      <c r="E50" s="206" t="s">
        <v>80</v>
      </c>
      <c r="F50" s="161">
        <v>9</v>
      </c>
      <c r="G50" s="199">
        <v>138</v>
      </c>
      <c r="H50" s="200">
        <f t="shared" si="5"/>
        <v>20.675126363367955</v>
      </c>
      <c r="I50" s="200">
        <f t="shared" si="1"/>
        <v>14.638781214716566</v>
      </c>
      <c r="J50" s="204">
        <f t="shared" si="15"/>
        <v>2020.1518076308862</v>
      </c>
      <c r="K50" s="208">
        <f t="shared" si="16"/>
        <v>2853.1674381447779</v>
      </c>
      <c r="L50" s="207">
        <f t="shared" si="17"/>
        <v>-833.01563051389167</v>
      </c>
      <c r="M50" s="204">
        <f t="shared" si="7"/>
        <v>-26.553547133760308</v>
      </c>
      <c r="N50" s="205">
        <f t="shared" si="8"/>
        <v>-859.56917764765194</v>
      </c>
      <c r="O50" s="204">
        <v>0</v>
      </c>
      <c r="P50" s="204">
        <v>0</v>
      </c>
      <c r="Q50" s="204">
        <v>0</v>
      </c>
      <c r="R50" s="205">
        <f t="shared" si="9"/>
        <v>-859.56917764765194</v>
      </c>
    </row>
    <row r="51" spans="1:18" x14ac:dyDescent="0.2">
      <c r="A51" s="161">
        <v>8</v>
      </c>
      <c r="B51" s="196">
        <f t="shared" si="13"/>
        <v>44409</v>
      </c>
      <c r="C51" s="220">
        <f t="shared" si="14"/>
        <v>44442</v>
      </c>
      <c r="D51" s="220">
        <f t="shared" si="14"/>
        <v>44463</v>
      </c>
      <c r="E51" s="206" t="s">
        <v>80</v>
      </c>
      <c r="F51" s="161">
        <v>9</v>
      </c>
      <c r="G51" s="199">
        <v>140</v>
      </c>
      <c r="H51" s="200">
        <f t="shared" si="5"/>
        <v>20.675126363367955</v>
      </c>
      <c r="I51" s="200">
        <f t="shared" si="1"/>
        <v>14.638781214716566</v>
      </c>
      <c r="J51" s="204">
        <f t="shared" si="15"/>
        <v>2049.4293700603193</v>
      </c>
      <c r="K51" s="208">
        <f t="shared" si="16"/>
        <v>2894.5176908715139</v>
      </c>
      <c r="L51" s="207">
        <f t="shared" si="17"/>
        <v>-845.08832081119454</v>
      </c>
      <c r="M51" s="204">
        <f t="shared" si="7"/>
        <v>-26.938381150191617</v>
      </c>
      <c r="N51" s="205">
        <f t="shared" si="8"/>
        <v>-872.02670196138615</v>
      </c>
      <c r="O51" s="204">
        <v>0</v>
      </c>
      <c r="P51" s="204">
        <v>0</v>
      </c>
      <c r="Q51" s="204">
        <v>0</v>
      </c>
      <c r="R51" s="205">
        <f t="shared" si="9"/>
        <v>-872.02670196138615</v>
      </c>
    </row>
    <row r="52" spans="1:18" x14ac:dyDescent="0.2">
      <c r="A52" s="161">
        <v>9</v>
      </c>
      <c r="B52" s="196">
        <f t="shared" si="13"/>
        <v>44440</v>
      </c>
      <c r="C52" s="220">
        <f t="shared" si="14"/>
        <v>44474</v>
      </c>
      <c r="D52" s="220">
        <f t="shared" si="14"/>
        <v>44494</v>
      </c>
      <c r="E52" s="206" t="s">
        <v>80</v>
      </c>
      <c r="F52" s="161">
        <v>9</v>
      </c>
      <c r="G52" s="199">
        <v>140</v>
      </c>
      <c r="H52" s="200">
        <f t="shared" si="5"/>
        <v>20.675126363367955</v>
      </c>
      <c r="I52" s="200">
        <f t="shared" si="1"/>
        <v>14.638781214716566</v>
      </c>
      <c r="J52" s="204">
        <f t="shared" si="15"/>
        <v>2049.4293700603193</v>
      </c>
      <c r="K52" s="208">
        <f t="shared" si="16"/>
        <v>2894.5176908715139</v>
      </c>
      <c r="L52" s="207">
        <f t="shared" si="17"/>
        <v>-845.08832081119454</v>
      </c>
      <c r="M52" s="204">
        <f t="shared" si="7"/>
        <v>-26.938381150191617</v>
      </c>
      <c r="N52" s="205">
        <f t="shared" si="8"/>
        <v>-872.02670196138615</v>
      </c>
      <c r="O52" s="204">
        <v>0</v>
      </c>
      <c r="P52" s="204">
        <v>0</v>
      </c>
      <c r="Q52" s="204">
        <v>0</v>
      </c>
      <c r="R52" s="205">
        <f t="shared" si="9"/>
        <v>-872.02670196138615</v>
      </c>
    </row>
    <row r="53" spans="1:18" x14ac:dyDescent="0.2">
      <c r="A53" s="124">
        <v>10</v>
      </c>
      <c r="B53" s="196">
        <f t="shared" si="13"/>
        <v>44470</v>
      </c>
      <c r="C53" s="220">
        <f t="shared" si="14"/>
        <v>44503</v>
      </c>
      <c r="D53" s="220">
        <f t="shared" si="14"/>
        <v>44524</v>
      </c>
      <c r="E53" s="206" t="s">
        <v>80</v>
      </c>
      <c r="F53" s="161">
        <v>9</v>
      </c>
      <c r="G53" s="199">
        <v>106</v>
      </c>
      <c r="H53" s="200">
        <f t="shared" si="5"/>
        <v>20.675126363367955</v>
      </c>
      <c r="I53" s="200">
        <f t="shared" si="1"/>
        <v>14.638781214716566</v>
      </c>
      <c r="J53" s="204">
        <f t="shared" si="15"/>
        <v>1551.7108087599561</v>
      </c>
      <c r="K53" s="208">
        <f t="shared" si="16"/>
        <v>2191.5633945170034</v>
      </c>
      <c r="L53" s="207">
        <f t="shared" si="17"/>
        <v>-639.85258575704734</v>
      </c>
      <c r="M53" s="204">
        <f t="shared" si="7"/>
        <v>-20.396202870859366</v>
      </c>
      <c r="N53" s="205">
        <f t="shared" si="8"/>
        <v>-660.24878862790672</v>
      </c>
      <c r="O53" s="204">
        <v>0</v>
      </c>
      <c r="P53" s="204">
        <v>0</v>
      </c>
      <c r="Q53" s="204">
        <v>0</v>
      </c>
      <c r="R53" s="205">
        <f t="shared" si="9"/>
        <v>-660.24878862790672</v>
      </c>
    </row>
    <row r="54" spans="1:18" x14ac:dyDescent="0.2">
      <c r="A54" s="161">
        <v>11</v>
      </c>
      <c r="B54" s="196">
        <f t="shared" si="13"/>
        <v>44501</v>
      </c>
      <c r="C54" s="220">
        <f t="shared" si="14"/>
        <v>44533</v>
      </c>
      <c r="D54" s="220">
        <f t="shared" si="14"/>
        <v>44557</v>
      </c>
      <c r="E54" s="206" t="s">
        <v>80</v>
      </c>
      <c r="F54" s="161">
        <v>9</v>
      </c>
      <c r="G54" s="199">
        <v>107</v>
      </c>
      <c r="H54" s="200">
        <f t="shared" si="5"/>
        <v>20.675126363367955</v>
      </c>
      <c r="I54" s="200">
        <f t="shared" si="1"/>
        <v>14.638781214716566</v>
      </c>
      <c r="J54" s="204">
        <f t="shared" si="15"/>
        <v>1566.3495899746727</v>
      </c>
      <c r="K54" s="208">
        <f t="shared" si="16"/>
        <v>2212.2385208803712</v>
      </c>
      <c r="L54" s="207">
        <f t="shared" si="17"/>
        <v>-645.88893090569854</v>
      </c>
      <c r="M54" s="204">
        <f t="shared" si="7"/>
        <v>-20.588619879075022</v>
      </c>
      <c r="N54" s="205">
        <f t="shared" si="8"/>
        <v>-666.4775507847736</v>
      </c>
      <c r="O54" s="204">
        <v>0</v>
      </c>
      <c r="P54" s="204">
        <v>0</v>
      </c>
      <c r="Q54" s="204">
        <v>0</v>
      </c>
      <c r="R54" s="205">
        <f t="shared" si="9"/>
        <v>-666.4775507847736</v>
      </c>
    </row>
    <row r="55" spans="1:18" x14ac:dyDescent="0.2">
      <c r="A55" s="161">
        <v>12</v>
      </c>
      <c r="B55" s="196">
        <f t="shared" si="13"/>
        <v>44531</v>
      </c>
      <c r="C55" s="220">
        <f t="shared" si="14"/>
        <v>44566</v>
      </c>
      <c r="D55" s="220">
        <f t="shared" si="14"/>
        <v>44585</v>
      </c>
      <c r="E55" s="206" t="s">
        <v>80</v>
      </c>
      <c r="F55" s="161">
        <v>9</v>
      </c>
      <c r="G55" s="211">
        <v>110</v>
      </c>
      <c r="H55" s="212">
        <f t="shared" si="5"/>
        <v>20.675126363367955</v>
      </c>
      <c r="I55" s="212">
        <f t="shared" si="1"/>
        <v>14.638781214716566</v>
      </c>
      <c r="J55" s="213">
        <f t="shared" si="15"/>
        <v>1610.2659336188224</v>
      </c>
      <c r="K55" s="214">
        <f t="shared" si="16"/>
        <v>2274.263899970475</v>
      </c>
      <c r="L55" s="215">
        <f t="shared" si="17"/>
        <v>-663.99796635165262</v>
      </c>
      <c r="M55" s="204">
        <f t="shared" si="7"/>
        <v>-21.165870903721984</v>
      </c>
      <c r="N55" s="205">
        <f t="shared" si="8"/>
        <v>-685.16383725537457</v>
      </c>
      <c r="O55" s="204">
        <v>0</v>
      </c>
      <c r="P55" s="204">
        <v>0</v>
      </c>
      <c r="Q55" s="204">
        <v>0</v>
      </c>
      <c r="R55" s="205">
        <f t="shared" si="9"/>
        <v>-685.16383725537457</v>
      </c>
    </row>
    <row r="56" spans="1:18" s="221" customFormat="1" x14ac:dyDescent="0.2">
      <c r="A56" s="124">
        <v>1</v>
      </c>
      <c r="B56" s="216">
        <f t="shared" si="4"/>
        <v>44197</v>
      </c>
      <c r="C56" s="217">
        <f t="shared" ref="C56:D67" si="18">+C32</f>
        <v>44230</v>
      </c>
      <c r="D56" s="217">
        <f t="shared" si="18"/>
        <v>44251</v>
      </c>
      <c r="E56" s="218" t="s">
        <v>14</v>
      </c>
      <c r="F56" s="219">
        <v>9</v>
      </c>
      <c r="G56" s="199">
        <v>767</v>
      </c>
      <c r="H56" s="200">
        <f t="shared" si="5"/>
        <v>20.675126363367955</v>
      </c>
      <c r="I56" s="200">
        <f t="shared" si="1"/>
        <v>14.638781214716566</v>
      </c>
      <c r="J56" s="201">
        <f t="shared" si="2"/>
        <v>11227.945191687606</v>
      </c>
      <c r="K56" s="202">
        <f t="shared" si="11"/>
        <v>15857.821920703222</v>
      </c>
      <c r="L56" s="203">
        <f t="shared" si="12"/>
        <v>-4629.8767290156156</v>
      </c>
      <c r="M56" s="204">
        <f t="shared" si="7"/>
        <v>-147.58384530140691</v>
      </c>
      <c r="N56" s="205">
        <f t="shared" si="8"/>
        <v>-4777.4605743170223</v>
      </c>
      <c r="O56" s="204">
        <v>0</v>
      </c>
      <c r="P56" s="204">
        <v>0</v>
      </c>
      <c r="Q56" s="204">
        <v>0</v>
      </c>
      <c r="R56" s="205">
        <f t="shared" si="9"/>
        <v>-4777.4605743170223</v>
      </c>
    </row>
    <row r="57" spans="1:18" x14ac:dyDescent="0.2">
      <c r="A57" s="161">
        <v>2</v>
      </c>
      <c r="B57" s="196">
        <f t="shared" si="4"/>
        <v>44228</v>
      </c>
      <c r="C57" s="220">
        <f t="shared" si="18"/>
        <v>44258</v>
      </c>
      <c r="D57" s="220">
        <f t="shared" si="18"/>
        <v>44279</v>
      </c>
      <c r="E57" s="206" t="s">
        <v>14</v>
      </c>
      <c r="F57" s="161">
        <v>9</v>
      </c>
      <c r="G57" s="199">
        <v>1062</v>
      </c>
      <c r="H57" s="200">
        <f t="shared" si="5"/>
        <v>20.675126363367955</v>
      </c>
      <c r="I57" s="200">
        <f t="shared" si="1"/>
        <v>14.638781214716566</v>
      </c>
      <c r="J57" s="201">
        <f t="shared" si="2"/>
        <v>15546.385650028993</v>
      </c>
      <c r="K57" s="202">
        <f t="shared" si="11"/>
        <v>21956.984197896767</v>
      </c>
      <c r="L57" s="203">
        <f t="shared" si="12"/>
        <v>-6410.598547867774</v>
      </c>
      <c r="M57" s="204">
        <f t="shared" si="7"/>
        <v>-204.34686272502498</v>
      </c>
      <c r="N57" s="205">
        <f t="shared" si="8"/>
        <v>-6614.9454105927989</v>
      </c>
      <c r="O57" s="204">
        <v>0</v>
      </c>
      <c r="P57" s="204">
        <v>0</v>
      </c>
      <c r="Q57" s="204">
        <v>0</v>
      </c>
      <c r="R57" s="205">
        <f t="shared" si="9"/>
        <v>-6614.9454105927989</v>
      </c>
    </row>
    <row r="58" spans="1:18" x14ac:dyDescent="0.2">
      <c r="A58" s="161">
        <v>3</v>
      </c>
      <c r="B58" s="196">
        <f t="shared" si="4"/>
        <v>44256</v>
      </c>
      <c r="C58" s="220">
        <f t="shared" si="18"/>
        <v>44291</v>
      </c>
      <c r="D58" s="220">
        <f t="shared" si="18"/>
        <v>44312</v>
      </c>
      <c r="E58" s="206" t="s">
        <v>14</v>
      </c>
      <c r="F58" s="161">
        <v>9</v>
      </c>
      <c r="G58" s="199">
        <v>599</v>
      </c>
      <c r="H58" s="200">
        <f t="shared" si="5"/>
        <v>20.675126363367955</v>
      </c>
      <c r="I58" s="200">
        <f t="shared" si="1"/>
        <v>14.638781214716566</v>
      </c>
      <c r="J58" s="201">
        <f t="shared" si="2"/>
        <v>8768.6299476152235</v>
      </c>
      <c r="K58" s="202">
        <f t="shared" si="11"/>
        <v>12384.400691657405</v>
      </c>
      <c r="L58" s="203">
        <f>+J58-K58</f>
        <v>-3615.7707440421818</v>
      </c>
      <c r="M58" s="204">
        <f t="shared" si="7"/>
        <v>-115.25778792117697</v>
      </c>
      <c r="N58" s="205">
        <f t="shared" si="8"/>
        <v>-3731.028531963359</v>
      </c>
      <c r="O58" s="204">
        <v>0</v>
      </c>
      <c r="P58" s="204">
        <v>0</v>
      </c>
      <c r="Q58" s="204">
        <v>0</v>
      </c>
      <c r="R58" s="205">
        <f t="shared" si="9"/>
        <v>-3731.028531963359</v>
      </c>
    </row>
    <row r="59" spans="1:18" x14ac:dyDescent="0.2">
      <c r="A59" s="124">
        <v>4</v>
      </c>
      <c r="B59" s="196">
        <f t="shared" si="4"/>
        <v>44287</v>
      </c>
      <c r="C59" s="220">
        <f t="shared" si="18"/>
        <v>44321</v>
      </c>
      <c r="D59" s="220">
        <f t="shared" si="18"/>
        <v>44340</v>
      </c>
      <c r="E59" s="206" t="s">
        <v>14</v>
      </c>
      <c r="F59" s="161">
        <v>9</v>
      </c>
      <c r="G59" s="199">
        <v>447</v>
      </c>
      <c r="H59" s="200">
        <f t="shared" si="5"/>
        <v>20.675126363367955</v>
      </c>
      <c r="I59" s="200">
        <f t="shared" si="1"/>
        <v>14.638781214716566</v>
      </c>
      <c r="J59" s="201">
        <f t="shared" si="2"/>
        <v>6543.5352029783053</v>
      </c>
      <c r="K59" s="202">
        <f t="shared" si="11"/>
        <v>9241.7814844254754</v>
      </c>
      <c r="L59" s="203">
        <f t="shared" ref="L59:L81" si="19">+J59-K59</f>
        <v>-2698.2462814471701</v>
      </c>
      <c r="M59" s="204">
        <f t="shared" si="7"/>
        <v>-86.010402672397504</v>
      </c>
      <c r="N59" s="205">
        <f t="shared" si="8"/>
        <v>-2784.2566841195676</v>
      </c>
      <c r="O59" s="204">
        <v>0</v>
      </c>
      <c r="P59" s="204">
        <v>0</v>
      </c>
      <c r="Q59" s="204">
        <v>0</v>
      </c>
      <c r="R59" s="205">
        <f t="shared" si="9"/>
        <v>-2784.2566841195676</v>
      </c>
    </row>
    <row r="60" spans="1:18" x14ac:dyDescent="0.2">
      <c r="A60" s="161">
        <v>5</v>
      </c>
      <c r="B60" s="196">
        <f t="shared" si="4"/>
        <v>44317</v>
      </c>
      <c r="C60" s="220">
        <f t="shared" si="18"/>
        <v>44350</v>
      </c>
      <c r="D60" s="220">
        <f t="shared" si="18"/>
        <v>44371</v>
      </c>
      <c r="E60" s="54" t="s">
        <v>14</v>
      </c>
      <c r="F60" s="161">
        <v>9</v>
      </c>
      <c r="G60" s="199">
        <v>603</v>
      </c>
      <c r="H60" s="200">
        <f t="shared" si="5"/>
        <v>20.675126363367955</v>
      </c>
      <c r="I60" s="200">
        <f t="shared" si="1"/>
        <v>14.638781214716566</v>
      </c>
      <c r="J60" s="201">
        <f t="shared" si="2"/>
        <v>8827.1850724740889</v>
      </c>
      <c r="K60" s="202">
        <f t="shared" si="11"/>
        <v>12467.101197110876</v>
      </c>
      <c r="L60" s="203">
        <f t="shared" si="19"/>
        <v>-3639.9161246367876</v>
      </c>
      <c r="M60" s="204">
        <f t="shared" si="7"/>
        <v>-116.0274559540396</v>
      </c>
      <c r="N60" s="205">
        <f t="shared" si="8"/>
        <v>-3755.943580590827</v>
      </c>
      <c r="O60" s="204">
        <v>0</v>
      </c>
      <c r="P60" s="204">
        <v>0</v>
      </c>
      <c r="Q60" s="204">
        <v>0</v>
      </c>
      <c r="R60" s="205">
        <f t="shared" si="9"/>
        <v>-3755.943580590827</v>
      </c>
    </row>
    <row r="61" spans="1:18" x14ac:dyDescent="0.2">
      <c r="A61" s="161">
        <v>6</v>
      </c>
      <c r="B61" s="196">
        <f t="shared" si="4"/>
        <v>44348</v>
      </c>
      <c r="C61" s="220">
        <f t="shared" si="18"/>
        <v>44383</v>
      </c>
      <c r="D61" s="220">
        <f t="shared" si="18"/>
        <v>44401</v>
      </c>
      <c r="E61" s="54" t="s">
        <v>14</v>
      </c>
      <c r="F61" s="161">
        <v>9</v>
      </c>
      <c r="G61" s="199">
        <v>840</v>
      </c>
      <c r="H61" s="200">
        <f t="shared" si="5"/>
        <v>20.675126363367955</v>
      </c>
      <c r="I61" s="200">
        <f t="shared" si="1"/>
        <v>14.638781214716566</v>
      </c>
      <c r="J61" s="201">
        <f t="shared" si="2"/>
        <v>12296.576220361916</v>
      </c>
      <c r="K61" s="202">
        <f t="shared" si="11"/>
        <v>17367.106145229081</v>
      </c>
      <c r="L61" s="207">
        <f t="shared" si="19"/>
        <v>-5070.5299248671654</v>
      </c>
      <c r="M61" s="204">
        <f t="shared" si="7"/>
        <v>-161.6302869011497</v>
      </c>
      <c r="N61" s="205">
        <f t="shared" si="8"/>
        <v>-5232.1602117683151</v>
      </c>
      <c r="O61" s="204">
        <v>0</v>
      </c>
      <c r="P61" s="204">
        <v>0</v>
      </c>
      <c r="Q61" s="204">
        <v>0</v>
      </c>
      <c r="R61" s="205">
        <f t="shared" si="9"/>
        <v>-5232.1602117683151</v>
      </c>
    </row>
    <row r="62" spans="1:18" x14ac:dyDescent="0.2">
      <c r="A62" s="124">
        <v>7</v>
      </c>
      <c r="B62" s="196">
        <f t="shared" si="4"/>
        <v>44378</v>
      </c>
      <c r="C62" s="220">
        <f t="shared" si="18"/>
        <v>44412</v>
      </c>
      <c r="D62" s="220">
        <f t="shared" si="18"/>
        <v>44432</v>
      </c>
      <c r="E62" s="54" t="s">
        <v>14</v>
      </c>
      <c r="F62" s="161">
        <v>9</v>
      </c>
      <c r="G62" s="199">
        <v>926</v>
      </c>
      <c r="H62" s="200">
        <f t="shared" si="5"/>
        <v>20.675126363367955</v>
      </c>
      <c r="I62" s="200">
        <f t="shared" si="1"/>
        <v>14.638781214716566</v>
      </c>
      <c r="J62" s="201">
        <f t="shared" si="2"/>
        <v>13555.511404827541</v>
      </c>
      <c r="K62" s="208">
        <f t="shared" si="11"/>
        <v>19145.167012478727</v>
      </c>
      <c r="L62" s="207">
        <f t="shared" si="19"/>
        <v>-5589.6556076511861</v>
      </c>
      <c r="M62" s="204">
        <f t="shared" si="7"/>
        <v>-178.17814960769596</v>
      </c>
      <c r="N62" s="205">
        <f t="shared" si="8"/>
        <v>-5767.8337572588816</v>
      </c>
      <c r="O62" s="204">
        <v>0</v>
      </c>
      <c r="P62" s="204">
        <v>0</v>
      </c>
      <c r="Q62" s="204">
        <v>0</v>
      </c>
      <c r="R62" s="205">
        <f t="shared" si="9"/>
        <v>-5767.8337572588816</v>
      </c>
    </row>
    <row r="63" spans="1:18" x14ac:dyDescent="0.2">
      <c r="A63" s="161">
        <v>8</v>
      </c>
      <c r="B63" s="196">
        <f t="shared" si="4"/>
        <v>44409</v>
      </c>
      <c r="C63" s="220">
        <f t="shared" si="18"/>
        <v>44442</v>
      </c>
      <c r="D63" s="220">
        <f t="shared" si="18"/>
        <v>44463</v>
      </c>
      <c r="E63" s="54" t="s">
        <v>14</v>
      </c>
      <c r="F63" s="161">
        <v>9</v>
      </c>
      <c r="G63" s="199">
        <v>943</v>
      </c>
      <c r="H63" s="200">
        <f t="shared" si="5"/>
        <v>20.675126363367955</v>
      </c>
      <c r="I63" s="200">
        <f t="shared" si="1"/>
        <v>14.638781214716566</v>
      </c>
      <c r="J63" s="201">
        <f t="shared" si="2"/>
        <v>13804.370685477721</v>
      </c>
      <c r="K63" s="208">
        <f t="shared" si="11"/>
        <v>19496.644160655982</v>
      </c>
      <c r="L63" s="207">
        <f t="shared" si="19"/>
        <v>-5692.2734751782609</v>
      </c>
      <c r="M63" s="204">
        <f t="shared" si="7"/>
        <v>-181.4492387473621</v>
      </c>
      <c r="N63" s="205">
        <f t="shared" si="8"/>
        <v>-5873.7227139256229</v>
      </c>
      <c r="O63" s="204">
        <v>0</v>
      </c>
      <c r="P63" s="204">
        <v>0</v>
      </c>
      <c r="Q63" s="204">
        <v>0</v>
      </c>
      <c r="R63" s="205">
        <f t="shared" si="9"/>
        <v>-5873.7227139256229</v>
      </c>
    </row>
    <row r="64" spans="1:18" x14ac:dyDescent="0.2">
      <c r="A64" s="161">
        <v>9</v>
      </c>
      <c r="B64" s="196">
        <f t="shared" si="4"/>
        <v>44440</v>
      </c>
      <c r="C64" s="220">
        <f t="shared" si="18"/>
        <v>44474</v>
      </c>
      <c r="D64" s="220">
        <f t="shared" si="18"/>
        <v>44494</v>
      </c>
      <c r="E64" s="54" t="s">
        <v>14</v>
      </c>
      <c r="F64" s="161">
        <v>9</v>
      </c>
      <c r="G64" s="199">
        <v>913</v>
      </c>
      <c r="H64" s="200">
        <f t="shared" si="5"/>
        <v>20.675126363367955</v>
      </c>
      <c r="I64" s="200">
        <f t="shared" ref="I64:I107" si="20">$J$3</f>
        <v>14.638781214716566</v>
      </c>
      <c r="J64" s="201">
        <f t="shared" si="2"/>
        <v>13365.207249036224</v>
      </c>
      <c r="K64" s="208">
        <f t="shared" si="11"/>
        <v>18876.390369754943</v>
      </c>
      <c r="L64" s="207">
        <f t="shared" si="19"/>
        <v>-5511.1831207187188</v>
      </c>
      <c r="M64" s="204">
        <f t="shared" si="7"/>
        <v>-175.67672850089247</v>
      </c>
      <c r="N64" s="205">
        <f t="shared" si="8"/>
        <v>-5686.8598492196115</v>
      </c>
      <c r="O64" s="204">
        <v>0</v>
      </c>
      <c r="P64" s="204">
        <v>0</v>
      </c>
      <c r="Q64" s="204">
        <v>0</v>
      </c>
      <c r="R64" s="205">
        <f t="shared" si="9"/>
        <v>-5686.8598492196115</v>
      </c>
    </row>
    <row r="65" spans="1:18" x14ac:dyDescent="0.2">
      <c r="A65" s="124">
        <v>10</v>
      </c>
      <c r="B65" s="196">
        <f t="shared" si="4"/>
        <v>44470</v>
      </c>
      <c r="C65" s="220">
        <f t="shared" si="18"/>
        <v>44503</v>
      </c>
      <c r="D65" s="220">
        <f t="shared" si="18"/>
        <v>44524</v>
      </c>
      <c r="E65" s="54" t="s">
        <v>14</v>
      </c>
      <c r="F65" s="161">
        <v>9</v>
      </c>
      <c r="G65" s="199">
        <v>681</v>
      </c>
      <c r="H65" s="200">
        <f t="shared" si="5"/>
        <v>20.675126363367955</v>
      </c>
      <c r="I65" s="200">
        <f t="shared" si="20"/>
        <v>14.638781214716566</v>
      </c>
      <c r="J65" s="201">
        <f t="shared" si="2"/>
        <v>9969.0100072219811</v>
      </c>
      <c r="K65" s="208">
        <f t="shared" si="11"/>
        <v>14079.761053453578</v>
      </c>
      <c r="L65" s="207">
        <f t="shared" si="19"/>
        <v>-4110.7510462315968</v>
      </c>
      <c r="M65" s="204">
        <f t="shared" si="7"/>
        <v>-131.03598259486066</v>
      </c>
      <c r="N65" s="205">
        <f t="shared" si="8"/>
        <v>-4241.7870288264576</v>
      </c>
      <c r="O65" s="204">
        <v>0</v>
      </c>
      <c r="P65" s="204">
        <v>0</v>
      </c>
      <c r="Q65" s="204">
        <v>0</v>
      </c>
      <c r="R65" s="205">
        <f t="shared" si="9"/>
        <v>-4241.7870288264576</v>
      </c>
    </row>
    <row r="66" spans="1:18" x14ac:dyDescent="0.2">
      <c r="A66" s="161">
        <v>11</v>
      </c>
      <c r="B66" s="196">
        <f t="shared" si="4"/>
        <v>44501</v>
      </c>
      <c r="C66" s="220">
        <f t="shared" si="18"/>
        <v>44533</v>
      </c>
      <c r="D66" s="220">
        <f t="shared" si="18"/>
        <v>44557</v>
      </c>
      <c r="E66" s="54" t="s">
        <v>14</v>
      </c>
      <c r="F66" s="161">
        <v>9</v>
      </c>
      <c r="G66" s="199">
        <v>652</v>
      </c>
      <c r="H66" s="200">
        <f t="shared" si="5"/>
        <v>20.675126363367955</v>
      </c>
      <c r="I66" s="200">
        <f t="shared" si="20"/>
        <v>14.638781214716566</v>
      </c>
      <c r="J66" s="201">
        <f t="shared" si="2"/>
        <v>9544.4853519952012</v>
      </c>
      <c r="K66" s="208">
        <f t="shared" si="11"/>
        <v>13480.182388915906</v>
      </c>
      <c r="L66" s="207">
        <f t="shared" si="19"/>
        <v>-3935.6970369207047</v>
      </c>
      <c r="M66" s="204">
        <f t="shared" si="7"/>
        <v>-125.45588935660666</v>
      </c>
      <c r="N66" s="205">
        <f t="shared" si="8"/>
        <v>-4061.1529262773115</v>
      </c>
      <c r="O66" s="204">
        <v>0</v>
      </c>
      <c r="P66" s="204">
        <v>0</v>
      </c>
      <c r="Q66" s="204">
        <v>0</v>
      </c>
      <c r="R66" s="205">
        <f t="shared" si="9"/>
        <v>-4061.1529262773115</v>
      </c>
    </row>
    <row r="67" spans="1:18" s="224" customFormat="1" x14ac:dyDescent="0.2">
      <c r="A67" s="161">
        <v>12</v>
      </c>
      <c r="B67" s="222">
        <f t="shared" si="4"/>
        <v>44531</v>
      </c>
      <c r="C67" s="220">
        <f t="shared" si="18"/>
        <v>44566</v>
      </c>
      <c r="D67" s="220">
        <f t="shared" si="18"/>
        <v>44585</v>
      </c>
      <c r="E67" s="223" t="s">
        <v>14</v>
      </c>
      <c r="F67" s="172">
        <v>9</v>
      </c>
      <c r="G67" s="211">
        <v>634</v>
      </c>
      <c r="H67" s="212">
        <f t="shared" si="5"/>
        <v>20.675126363367955</v>
      </c>
      <c r="I67" s="212">
        <f t="shared" si="20"/>
        <v>14.638781214716566</v>
      </c>
      <c r="J67" s="213">
        <f t="shared" si="2"/>
        <v>9280.9872901303024</v>
      </c>
      <c r="K67" s="214">
        <f t="shared" si="11"/>
        <v>13108.030114375284</v>
      </c>
      <c r="L67" s="215">
        <f t="shared" si="19"/>
        <v>-3827.0428242449816</v>
      </c>
      <c r="M67" s="204">
        <f t="shared" si="7"/>
        <v>-121.99238320872489</v>
      </c>
      <c r="N67" s="205">
        <f t="shared" si="8"/>
        <v>-3949.0352074537063</v>
      </c>
      <c r="O67" s="204">
        <v>0</v>
      </c>
      <c r="P67" s="204">
        <v>0</v>
      </c>
      <c r="Q67" s="204">
        <v>0</v>
      </c>
      <c r="R67" s="205">
        <f t="shared" si="9"/>
        <v>-3949.0352074537063</v>
      </c>
    </row>
    <row r="68" spans="1:18" x14ac:dyDescent="0.2">
      <c r="A68" s="124">
        <v>1</v>
      </c>
      <c r="B68" s="196">
        <f t="shared" si="4"/>
        <v>44197</v>
      </c>
      <c r="C68" s="217">
        <f t="shared" ref="C68:D79" si="21">+C56</f>
        <v>44230</v>
      </c>
      <c r="D68" s="217">
        <f t="shared" si="21"/>
        <v>44251</v>
      </c>
      <c r="E68" s="198" t="s">
        <v>82</v>
      </c>
      <c r="F68" s="124">
        <v>9</v>
      </c>
      <c r="G68" s="199">
        <v>38</v>
      </c>
      <c r="H68" s="200">
        <f t="shared" si="5"/>
        <v>20.675126363367955</v>
      </c>
      <c r="I68" s="200">
        <f t="shared" si="20"/>
        <v>14.638781214716566</v>
      </c>
      <c r="J68" s="201">
        <f t="shared" si="2"/>
        <v>556.27368615922956</v>
      </c>
      <c r="K68" s="202">
        <f t="shared" si="11"/>
        <v>785.65480180798227</v>
      </c>
      <c r="L68" s="203">
        <f t="shared" si="19"/>
        <v>-229.38111564875271</v>
      </c>
      <c r="M68" s="204">
        <f t="shared" si="7"/>
        <v>-7.3118463121948674</v>
      </c>
      <c r="N68" s="205">
        <f t="shared" si="8"/>
        <v>-236.69296196094757</v>
      </c>
      <c r="O68" s="204">
        <v>0</v>
      </c>
      <c r="P68" s="204">
        <v>0</v>
      </c>
      <c r="Q68" s="204">
        <v>0</v>
      </c>
      <c r="R68" s="205">
        <f t="shared" si="9"/>
        <v>-236.69296196094757</v>
      </c>
    </row>
    <row r="69" spans="1:18" x14ac:dyDescent="0.2">
      <c r="A69" s="161">
        <v>2</v>
      </c>
      <c r="B69" s="196">
        <f t="shared" si="4"/>
        <v>44228</v>
      </c>
      <c r="C69" s="220">
        <f t="shared" si="21"/>
        <v>44258</v>
      </c>
      <c r="D69" s="220">
        <f t="shared" si="21"/>
        <v>44279</v>
      </c>
      <c r="E69" s="206" t="s">
        <v>82</v>
      </c>
      <c r="F69" s="161">
        <v>9</v>
      </c>
      <c r="G69" s="199">
        <v>60</v>
      </c>
      <c r="H69" s="200">
        <f t="shared" si="5"/>
        <v>20.675126363367955</v>
      </c>
      <c r="I69" s="200">
        <f t="shared" si="20"/>
        <v>14.638781214716566</v>
      </c>
      <c r="J69" s="201">
        <f t="shared" si="2"/>
        <v>878.32687288299394</v>
      </c>
      <c r="K69" s="202">
        <f t="shared" si="11"/>
        <v>1240.5075818020773</v>
      </c>
      <c r="L69" s="203">
        <f t="shared" si="19"/>
        <v>-362.18070891908337</v>
      </c>
      <c r="M69" s="204">
        <f t="shared" si="7"/>
        <v>-11.545020492939264</v>
      </c>
      <c r="N69" s="205">
        <f t="shared" si="8"/>
        <v>-373.72572941202264</v>
      </c>
      <c r="O69" s="204">
        <v>0</v>
      </c>
      <c r="P69" s="204">
        <v>0</v>
      </c>
      <c r="Q69" s="204">
        <v>0</v>
      </c>
      <c r="R69" s="205">
        <f t="shared" si="9"/>
        <v>-373.72572941202264</v>
      </c>
    </row>
    <row r="70" spans="1:18" x14ac:dyDescent="0.2">
      <c r="A70" s="161">
        <v>3</v>
      </c>
      <c r="B70" s="196">
        <f t="shared" si="4"/>
        <v>44256</v>
      </c>
      <c r="C70" s="220">
        <f t="shared" si="21"/>
        <v>44291</v>
      </c>
      <c r="D70" s="220">
        <f t="shared" si="21"/>
        <v>44312</v>
      </c>
      <c r="E70" s="206" t="s">
        <v>82</v>
      </c>
      <c r="F70" s="161">
        <v>9</v>
      </c>
      <c r="G70" s="199">
        <v>31</v>
      </c>
      <c r="H70" s="200">
        <f t="shared" si="5"/>
        <v>20.675126363367955</v>
      </c>
      <c r="I70" s="200">
        <f t="shared" si="20"/>
        <v>14.638781214716566</v>
      </c>
      <c r="J70" s="201">
        <f t="shared" si="2"/>
        <v>453.80221765621354</v>
      </c>
      <c r="K70" s="202">
        <f t="shared" si="11"/>
        <v>640.92891726440655</v>
      </c>
      <c r="L70" s="203">
        <f>+J70-K70</f>
        <v>-187.12669960819301</v>
      </c>
      <c r="M70" s="204">
        <f t="shared" si="7"/>
        <v>-5.9649272546852856</v>
      </c>
      <c r="N70" s="205">
        <f t="shared" si="8"/>
        <v>-193.09162686287829</v>
      </c>
      <c r="O70" s="204">
        <v>0</v>
      </c>
      <c r="P70" s="204">
        <v>0</v>
      </c>
      <c r="Q70" s="204">
        <v>0</v>
      </c>
      <c r="R70" s="205">
        <f t="shared" si="9"/>
        <v>-193.09162686287829</v>
      </c>
    </row>
    <row r="71" spans="1:18" x14ac:dyDescent="0.2">
      <c r="A71" s="124">
        <v>4</v>
      </c>
      <c r="B71" s="196">
        <f t="shared" si="4"/>
        <v>44287</v>
      </c>
      <c r="C71" s="220">
        <f t="shared" si="21"/>
        <v>44321</v>
      </c>
      <c r="D71" s="220">
        <f t="shared" si="21"/>
        <v>44340</v>
      </c>
      <c r="E71" s="206" t="s">
        <v>82</v>
      </c>
      <c r="F71" s="161">
        <v>9</v>
      </c>
      <c r="G71" s="199">
        <v>20</v>
      </c>
      <c r="H71" s="200">
        <f t="shared" si="5"/>
        <v>20.675126363367955</v>
      </c>
      <c r="I71" s="200">
        <f t="shared" si="20"/>
        <v>14.638781214716566</v>
      </c>
      <c r="J71" s="201">
        <f t="shared" si="2"/>
        <v>292.77562429433135</v>
      </c>
      <c r="K71" s="202">
        <f t="shared" si="11"/>
        <v>413.50252726735908</v>
      </c>
      <c r="L71" s="203">
        <f t="shared" ref="L71:L79" si="22">+J71-K71</f>
        <v>-120.72690297302773</v>
      </c>
      <c r="M71" s="204">
        <f t="shared" si="7"/>
        <v>-3.8483401643130879</v>
      </c>
      <c r="N71" s="205">
        <f t="shared" si="8"/>
        <v>-124.57524313734082</v>
      </c>
      <c r="O71" s="204">
        <v>0</v>
      </c>
      <c r="P71" s="204">
        <v>0</v>
      </c>
      <c r="Q71" s="204">
        <v>0</v>
      </c>
      <c r="R71" s="205">
        <f t="shared" si="9"/>
        <v>-124.57524313734082</v>
      </c>
    </row>
    <row r="72" spans="1:18" x14ac:dyDescent="0.2">
      <c r="A72" s="161">
        <v>5</v>
      </c>
      <c r="B72" s="196">
        <f t="shared" si="4"/>
        <v>44317</v>
      </c>
      <c r="C72" s="220">
        <f t="shared" si="21"/>
        <v>44350</v>
      </c>
      <c r="D72" s="220">
        <f t="shared" si="21"/>
        <v>44371</v>
      </c>
      <c r="E72" s="206" t="s">
        <v>82</v>
      </c>
      <c r="F72" s="161">
        <v>9</v>
      </c>
      <c r="G72" s="199">
        <v>28</v>
      </c>
      <c r="H72" s="200">
        <f t="shared" si="5"/>
        <v>20.675126363367955</v>
      </c>
      <c r="I72" s="200">
        <f t="shared" si="20"/>
        <v>14.638781214716566</v>
      </c>
      <c r="J72" s="201">
        <f t="shared" si="2"/>
        <v>409.88587401206382</v>
      </c>
      <c r="K72" s="202">
        <f t="shared" si="11"/>
        <v>578.90353817430275</v>
      </c>
      <c r="L72" s="203">
        <f t="shared" si="22"/>
        <v>-169.01766416223893</v>
      </c>
      <c r="M72" s="204">
        <f t="shared" si="7"/>
        <v>-5.3876762300383234</v>
      </c>
      <c r="N72" s="205">
        <f t="shared" si="8"/>
        <v>-174.40534039227725</v>
      </c>
      <c r="O72" s="204">
        <v>0</v>
      </c>
      <c r="P72" s="204">
        <v>0</v>
      </c>
      <c r="Q72" s="204">
        <v>0</v>
      </c>
      <c r="R72" s="205">
        <f t="shared" si="9"/>
        <v>-174.40534039227725</v>
      </c>
    </row>
    <row r="73" spans="1:18" x14ac:dyDescent="0.2">
      <c r="A73" s="161">
        <v>6</v>
      </c>
      <c r="B73" s="196">
        <f t="shared" si="4"/>
        <v>44348</v>
      </c>
      <c r="C73" s="220">
        <f t="shared" si="21"/>
        <v>44383</v>
      </c>
      <c r="D73" s="220">
        <f t="shared" si="21"/>
        <v>44401</v>
      </c>
      <c r="E73" s="206" t="s">
        <v>82</v>
      </c>
      <c r="F73" s="161">
        <v>9</v>
      </c>
      <c r="G73" s="199">
        <v>45</v>
      </c>
      <c r="H73" s="200">
        <f t="shared" si="5"/>
        <v>20.675126363367955</v>
      </c>
      <c r="I73" s="200">
        <f t="shared" si="20"/>
        <v>14.638781214716566</v>
      </c>
      <c r="J73" s="201">
        <f t="shared" si="2"/>
        <v>658.74515466224545</v>
      </c>
      <c r="K73" s="202">
        <f t="shared" si="11"/>
        <v>930.38068635155798</v>
      </c>
      <c r="L73" s="207">
        <f t="shared" si="22"/>
        <v>-271.63553168931253</v>
      </c>
      <c r="M73" s="204">
        <f t="shared" si="7"/>
        <v>-8.6587653697044473</v>
      </c>
      <c r="N73" s="205">
        <f t="shared" si="8"/>
        <v>-280.29429705901697</v>
      </c>
      <c r="O73" s="204">
        <v>0</v>
      </c>
      <c r="P73" s="204">
        <v>0</v>
      </c>
      <c r="Q73" s="204">
        <v>0</v>
      </c>
      <c r="R73" s="205">
        <f t="shared" si="9"/>
        <v>-280.29429705901697</v>
      </c>
    </row>
    <row r="74" spans="1:18" x14ac:dyDescent="0.2">
      <c r="A74" s="124">
        <v>7</v>
      </c>
      <c r="B74" s="196">
        <f t="shared" si="4"/>
        <v>44378</v>
      </c>
      <c r="C74" s="220">
        <f t="shared" si="21"/>
        <v>44412</v>
      </c>
      <c r="D74" s="220">
        <f t="shared" si="21"/>
        <v>44432</v>
      </c>
      <c r="E74" s="206" t="s">
        <v>82</v>
      </c>
      <c r="F74" s="161">
        <v>9</v>
      </c>
      <c r="G74" s="199">
        <v>53</v>
      </c>
      <c r="H74" s="200">
        <f t="shared" si="5"/>
        <v>20.675126363367955</v>
      </c>
      <c r="I74" s="200">
        <f t="shared" si="20"/>
        <v>14.638781214716566</v>
      </c>
      <c r="J74" s="201">
        <f t="shared" si="2"/>
        <v>775.85540437997804</v>
      </c>
      <c r="K74" s="208">
        <f t="shared" si="11"/>
        <v>1095.7816972585017</v>
      </c>
      <c r="L74" s="207">
        <f t="shared" si="22"/>
        <v>-319.92629287852367</v>
      </c>
      <c r="M74" s="204">
        <f t="shared" si="7"/>
        <v>-10.198101435429683</v>
      </c>
      <c r="N74" s="205">
        <f t="shared" si="8"/>
        <v>-330.12439431395336</v>
      </c>
      <c r="O74" s="204">
        <v>0</v>
      </c>
      <c r="P74" s="204">
        <v>0</v>
      </c>
      <c r="Q74" s="204">
        <v>0</v>
      </c>
      <c r="R74" s="205">
        <f t="shared" si="9"/>
        <v>-330.12439431395336</v>
      </c>
    </row>
    <row r="75" spans="1:18" x14ac:dyDescent="0.2">
      <c r="A75" s="161">
        <v>8</v>
      </c>
      <c r="B75" s="196">
        <f t="shared" si="4"/>
        <v>44409</v>
      </c>
      <c r="C75" s="220">
        <f t="shared" si="21"/>
        <v>44442</v>
      </c>
      <c r="D75" s="220">
        <f t="shared" si="21"/>
        <v>44463</v>
      </c>
      <c r="E75" s="206" t="s">
        <v>82</v>
      </c>
      <c r="F75" s="161">
        <v>9</v>
      </c>
      <c r="G75" s="199">
        <v>50</v>
      </c>
      <c r="H75" s="200">
        <f t="shared" si="5"/>
        <v>20.675126363367955</v>
      </c>
      <c r="I75" s="200">
        <f t="shared" si="20"/>
        <v>14.638781214716566</v>
      </c>
      <c r="J75" s="201">
        <f t="shared" si="2"/>
        <v>731.93906073582832</v>
      </c>
      <c r="K75" s="208">
        <f t="shared" si="11"/>
        <v>1033.7563181683977</v>
      </c>
      <c r="L75" s="207">
        <f t="shared" si="22"/>
        <v>-301.81725743256936</v>
      </c>
      <c r="M75" s="204">
        <f t="shared" si="7"/>
        <v>-9.6208504107827206</v>
      </c>
      <c r="N75" s="205">
        <f t="shared" si="8"/>
        <v>-311.4381078433521</v>
      </c>
      <c r="O75" s="204">
        <v>0</v>
      </c>
      <c r="P75" s="204">
        <v>0</v>
      </c>
      <c r="Q75" s="204">
        <v>0</v>
      </c>
      <c r="R75" s="205">
        <f t="shared" si="9"/>
        <v>-311.4381078433521</v>
      </c>
    </row>
    <row r="76" spans="1:18" x14ac:dyDescent="0.2">
      <c r="A76" s="161">
        <v>9</v>
      </c>
      <c r="B76" s="196">
        <f t="shared" si="4"/>
        <v>44440</v>
      </c>
      <c r="C76" s="220">
        <f t="shared" si="21"/>
        <v>44474</v>
      </c>
      <c r="D76" s="220">
        <f t="shared" si="21"/>
        <v>44494</v>
      </c>
      <c r="E76" s="206" t="s">
        <v>82</v>
      </c>
      <c r="F76" s="161">
        <v>9</v>
      </c>
      <c r="G76" s="199">
        <v>49</v>
      </c>
      <c r="H76" s="200">
        <f t="shared" si="5"/>
        <v>20.675126363367955</v>
      </c>
      <c r="I76" s="200">
        <f t="shared" si="20"/>
        <v>14.638781214716566</v>
      </c>
      <c r="J76" s="201">
        <f t="shared" si="2"/>
        <v>717.30027952111175</v>
      </c>
      <c r="K76" s="208">
        <f t="shared" si="11"/>
        <v>1013.0811918050298</v>
      </c>
      <c r="L76" s="207">
        <f t="shared" si="22"/>
        <v>-295.78091228391804</v>
      </c>
      <c r="M76" s="204">
        <f t="shared" si="7"/>
        <v>-9.428433402567066</v>
      </c>
      <c r="N76" s="205">
        <f t="shared" si="8"/>
        <v>-305.20934568648511</v>
      </c>
      <c r="O76" s="204">
        <v>0</v>
      </c>
      <c r="P76" s="204">
        <v>0</v>
      </c>
      <c r="Q76" s="204">
        <v>0</v>
      </c>
      <c r="R76" s="205">
        <f t="shared" si="9"/>
        <v>-305.20934568648511</v>
      </c>
    </row>
    <row r="77" spans="1:18" x14ac:dyDescent="0.2">
      <c r="A77" s="124">
        <v>10</v>
      </c>
      <c r="B77" s="196">
        <f t="shared" si="4"/>
        <v>44470</v>
      </c>
      <c r="C77" s="220">
        <f t="shared" si="21"/>
        <v>44503</v>
      </c>
      <c r="D77" s="220">
        <f t="shared" si="21"/>
        <v>44524</v>
      </c>
      <c r="E77" s="206" t="s">
        <v>82</v>
      </c>
      <c r="F77" s="161">
        <v>9</v>
      </c>
      <c r="G77" s="199">
        <v>38</v>
      </c>
      <c r="H77" s="200">
        <f t="shared" si="5"/>
        <v>20.675126363367955</v>
      </c>
      <c r="I77" s="200">
        <f t="shared" si="20"/>
        <v>14.638781214716566</v>
      </c>
      <c r="J77" s="201">
        <f t="shared" si="2"/>
        <v>556.27368615922956</v>
      </c>
      <c r="K77" s="208">
        <f t="shared" si="11"/>
        <v>785.65480180798227</v>
      </c>
      <c r="L77" s="207">
        <f t="shared" si="22"/>
        <v>-229.38111564875271</v>
      </c>
      <c r="M77" s="204">
        <f t="shared" si="7"/>
        <v>-7.3118463121948674</v>
      </c>
      <c r="N77" s="205">
        <f t="shared" si="8"/>
        <v>-236.69296196094757</v>
      </c>
      <c r="O77" s="204">
        <v>0</v>
      </c>
      <c r="P77" s="204">
        <v>0</v>
      </c>
      <c r="Q77" s="204">
        <v>0</v>
      </c>
      <c r="R77" s="205">
        <f t="shared" si="9"/>
        <v>-236.69296196094757</v>
      </c>
    </row>
    <row r="78" spans="1:18" x14ac:dyDescent="0.2">
      <c r="A78" s="161">
        <v>11</v>
      </c>
      <c r="B78" s="196">
        <f t="shared" si="4"/>
        <v>44501</v>
      </c>
      <c r="C78" s="220">
        <f t="shared" si="21"/>
        <v>44533</v>
      </c>
      <c r="D78" s="220">
        <f t="shared" si="21"/>
        <v>44557</v>
      </c>
      <c r="E78" s="206" t="s">
        <v>82</v>
      </c>
      <c r="F78" s="161">
        <v>9</v>
      </c>
      <c r="G78" s="199">
        <v>32</v>
      </c>
      <c r="H78" s="200">
        <f t="shared" si="5"/>
        <v>20.675126363367955</v>
      </c>
      <c r="I78" s="200">
        <f t="shared" si="20"/>
        <v>14.638781214716566</v>
      </c>
      <c r="J78" s="201">
        <f t="shared" si="2"/>
        <v>468.44099887093012</v>
      </c>
      <c r="K78" s="208">
        <f>+$G78*H78</f>
        <v>661.60404362777456</v>
      </c>
      <c r="L78" s="207">
        <f t="shared" si="22"/>
        <v>-193.16304475684444</v>
      </c>
      <c r="M78" s="204">
        <f t="shared" si="7"/>
        <v>-6.1573442629009403</v>
      </c>
      <c r="N78" s="205">
        <f t="shared" si="8"/>
        <v>-199.32038901974539</v>
      </c>
      <c r="O78" s="204">
        <v>0</v>
      </c>
      <c r="P78" s="204">
        <v>0</v>
      </c>
      <c r="Q78" s="204">
        <v>0</v>
      </c>
      <c r="R78" s="205">
        <f t="shared" si="9"/>
        <v>-199.32038901974539</v>
      </c>
    </row>
    <row r="79" spans="1:18" s="224" customFormat="1" x14ac:dyDescent="0.2">
      <c r="A79" s="161">
        <v>12</v>
      </c>
      <c r="B79" s="222">
        <f t="shared" si="4"/>
        <v>44531</v>
      </c>
      <c r="C79" s="225">
        <f t="shared" si="21"/>
        <v>44566</v>
      </c>
      <c r="D79" s="225">
        <f t="shared" si="21"/>
        <v>44585</v>
      </c>
      <c r="E79" s="226" t="s">
        <v>82</v>
      </c>
      <c r="F79" s="172">
        <v>9</v>
      </c>
      <c r="G79" s="211">
        <v>31</v>
      </c>
      <c r="H79" s="212">
        <f t="shared" si="5"/>
        <v>20.675126363367955</v>
      </c>
      <c r="I79" s="212">
        <f t="shared" si="20"/>
        <v>14.638781214716566</v>
      </c>
      <c r="J79" s="213">
        <f t="shared" si="2"/>
        <v>453.80221765621354</v>
      </c>
      <c r="K79" s="214">
        <f>+$G79*H79</f>
        <v>640.92891726440655</v>
      </c>
      <c r="L79" s="215">
        <f t="shared" si="22"/>
        <v>-187.12669960819301</v>
      </c>
      <c r="M79" s="204">
        <f t="shared" si="7"/>
        <v>-5.9649272546852856</v>
      </c>
      <c r="N79" s="205">
        <f t="shared" si="8"/>
        <v>-193.09162686287829</v>
      </c>
      <c r="O79" s="204">
        <v>0</v>
      </c>
      <c r="P79" s="204">
        <v>0</v>
      </c>
      <c r="Q79" s="204">
        <v>0</v>
      </c>
      <c r="R79" s="205">
        <f t="shared" si="9"/>
        <v>-193.09162686287829</v>
      </c>
    </row>
    <row r="80" spans="1:18" s="52" customFormat="1" ht="12.75" customHeight="1" x14ac:dyDescent="0.2">
      <c r="A80" s="124">
        <v>1</v>
      </c>
      <c r="B80" s="196">
        <f t="shared" si="4"/>
        <v>44197</v>
      </c>
      <c r="C80" s="217">
        <f t="shared" ref="C80:D91" si="23">+C56</f>
        <v>44230</v>
      </c>
      <c r="D80" s="217">
        <f t="shared" si="23"/>
        <v>44251</v>
      </c>
      <c r="E80" s="198" t="s">
        <v>9</v>
      </c>
      <c r="F80" s="124">
        <v>9</v>
      </c>
      <c r="G80" s="199">
        <v>43</v>
      </c>
      <c r="H80" s="200">
        <f t="shared" si="5"/>
        <v>20.675126363367955</v>
      </c>
      <c r="I80" s="200">
        <f t="shared" si="20"/>
        <v>14.638781214716566</v>
      </c>
      <c r="J80" s="201">
        <f t="shared" si="2"/>
        <v>629.46759223281231</v>
      </c>
      <c r="K80" s="202">
        <f t="shared" si="11"/>
        <v>889.03043362482208</v>
      </c>
      <c r="L80" s="203">
        <f t="shared" si="19"/>
        <v>-259.56284139200977</v>
      </c>
      <c r="M80" s="204">
        <f t="shared" si="7"/>
        <v>-8.273931353273138</v>
      </c>
      <c r="N80" s="205">
        <f t="shared" si="8"/>
        <v>-267.83677274528293</v>
      </c>
      <c r="O80" s="204">
        <v>0</v>
      </c>
      <c r="P80" s="204">
        <v>0</v>
      </c>
      <c r="Q80" s="204">
        <v>0</v>
      </c>
      <c r="R80" s="205">
        <f t="shared" si="9"/>
        <v>-267.83677274528293</v>
      </c>
    </row>
    <row r="81" spans="1:18" x14ac:dyDescent="0.2">
      <c r="A81" s="161">
        <v>2</v>
      </c>
      <c r="B81" s="196">
        <f t="shared" si="4"/>
        <v>44228</v>
      </c>
      <c r="C81" s="220">
        <f t="shared" si="23"/>
        <v>44258</v>
      </c>
      <c r="D81" s="220">
        <f t="shared" si="23"/>
        <v>44279</v>
      </c>
      <c r="E81" s="206" t="s">
        <v>9</v>
      </c>
      <c r="F81" s="161">
        <v>9</v>
      </c>
      <c r="G81" s="199">
        <v>48</v>
      </c>
      <c r="H81" s="200">
        <f t="shared" si="5"/>
        <v>20.675126363367955</v>
      </c>
      <c r="I81" s="200">
        <f t="shared" si="20"/>
        <v>14.638781214716566</v>
      </c>
      <c r="J81" s="201">
        <f t="shared" si="2"/>
        <v>702.66149830639517</v>
      </c>
      <c r="K81" s="202">
        <f t="shared" si="11"/>
        <v>992.40606544166189</v>
      </c>
      <c r="L81" s="203">
        <f t="shared" si="19"/>
        <v>-289.74456713526672</v>
      </c>
      <c r="M81" s="204">
        <f t="shared" si="7"/>
        <v>-9.2360163943514113</v>
      </c>
      <c r="N81" s="205">
        <f t="shared" si="8"/>
        <v>-298.98058352961812</v>
      </c>
      <c r="O81" s="204">
        <v>0</v>
      </c>
      <c r="P81" s="204">
        <v>0</v>
      </c>
      <c r="Q81" s="204">
        <v>0</v>
      </c>
      <c r="R81" s="205">
        <f t="shared" si="9"/>
        <v>-298.98058352961812</v>
      </c>
    </row>
    <row r="82" spans="1:18" x14ac:dyDescent="0.2">
      <c r="A82" s="161">
        <v>3</v>
      </c>
      <c r="B82" s="196">
        <f t="shared" si="4"/>
        <v>44256</v>
      </c>
      <c r="C82" s="220">
        <f t="shared" si="23"/>
        <v>44291</v>
      </c>
      <c r="D82" s="220">
        <f t="shared" si="23"/>
        <v>44312</v>
      </c>
      <c r="E82" s="206" t="s">
        <v>9</v>
      </c>
      <c r="F82" s="161">
        <v>9</v>
      </c>
      <c r="G82" s="199">
        <v>35</v>
      </c>
      <c r="H82" s="200">
        <f t="shared" si="5"/>
        <v>20.675126363367955</v>
      </c>
      <c r="I82" s="200">
        <f t="shared" si="20"/>
        <v>14.638781214716566</v>
      </c>
      <c r="J82" s="201">
        <f t="shared" si="2"/>
        <v>512.35734251507984</v>
      </c>
      <c r="K82" s="202">
        <f t="shared" si="11"/>
        <v>723.62942271787847</v>
      </c>
      <c r="L82" s="203">
        <f>+J82-K82</f>
        <v>-211.27208020279863</v>
      </c>
      <c r="M82" s="204">
        <f t="shared" si="7"/>
        <v>-6.7345952875479043</v>
      </c>
      <c r="N82" s="205">
        <f t="shared" si="8"/>
        <v>-218.00667549034654</v>
      </c>
      <c r="O82" s="204">
        <v>0</v>
      </c>
      <c r="P82" s="204">
        <v>0</v>
      </c>
      <c r="Q82" s="204">
        <v>0</v>
      </c>
      <c r="R82" s="205">
        <f t="shared" si="9"/>
        <v>-218.00667549034654</v>
      </c>
    </row>
    <row r="83" spans="1:18" ht="12" customHeight="1" x14ac:dyDescent="0.2">
      <c r="A83" s="124">
        <v>4</v>
      </c>
      <c r="B83" s="196">
        <f t="shared" si="4"/>
        <v>44287</v>
      </c>
      <c r="C83" s="220">
        <f t="shared" si="23"/>
        <v>44321</v>
      </c>
      <c r="D83" s="220">
        <f t="shared" si="23"/>
        <v>44340</v>
      </c>
      <c r="E83" s="54" t="s">
        <v>9</v>
      </c>
      <c r="F83" s="161">
        <v>9</v>
      </c>
      <c r="G83" s="199">
        <v>29</v>
      </c>
      <c r="H83" s="200">
        <f t="shared" si="5"/>
        <v>20.675126363367955</v>
      </c>
      <c r="I83" s="200">
        <f t="shared" si="20"/>
        <v>14.638781214716566</v>
      </c>
      <c r="J83" s="201">
        <f t="shared" si="2"/>
        <v>424.5246552267804</v>
      </c>
      <c r="K83" s="202">
        <f t="shared" si="11"/>
        <v>599.57866453767065</v>
      </c>
      <c r="L83" s="203">
        <f t="shared" ref="L83:L93" si="24">+J83-K83</f>
        <v>-175.05400931089025</v>
      </c>
      <c r="M83" s="204">
        <f t="shared" si="7"/>
        <v>-5.5800932382539772</v>
      </c>
      <c r="N83" s="205">
        <f t="shared" si="8"/>
        <v>-180.63410254914422</v>
      </c>
      <c r="O83" s="204">
        <v>0</v>
      </c>
      <c r="P83" s="204">
        <v>0</v>
      </c>
      <c r="Q83" s="204">
        <v>0</v>
      </c>
      <c r="R83" s="205">
        <f t="shared" si="9"/>
        <v>-180.63410254914422</v>
      </c>
    </row>
    <row r="84" spans="1:18" ht="12" customHeight="1" x14ac:dyDescent="0.2">
      <c r="A84" s="161">
        <v>5</v>
      </c>
      <c r="B84" s="196">
        <f t="shared" si="4"/>
        <v>44317</v>
      </c>
      <c r="C84" s="220">
        <f t="shared" si="23"/>
        <v>44350</v>
      </c>
      <c r="D84" s="220">
        <f t="shared" si="23"/>
        <v>44371</v>
      </c>
      <c r="E84" s="54" t="s">
        <v>9</v>
      </c>
      <c r="F84" s="161">
        <v>9</v>
      </c>
      <c r="G84" s="199">
        <v>34</v>
      </c>
      <c r="H84" s="200">
        <f t="shared" si="5"/>
        <v>20.675126363367955</v>
      </c>
      <c r="I84" s="200">
        <f t="shared" si="20"/>
        <v>14.638781214716566</v>
      </c>
      <c r="J84" s="201">
        <f t="shared" si="2"/>
        <v>497.71856130036326</v>
      </c>
      <c r="K84" s="202">
        <f t="shared" si="11"/>
        <v>702.95429635451046</v>
      </c>
      <c r="L84" s="203">
        <f t="shared" si="24"/>
        <v>-205.2357350541472</v>
      </c>
      <c r="M84" s="204">
        <f t="shared" si="7"/>
        <v>-6.5421782793322496</v>
      </c>
      <c r="N84" s="205">
        <f t="shared" si="8"/>
        <v>-211.77791333347946</v>
      </c>
      <c r="O84" s="204">
        <v>0</v>
      </c>
      <c r="P84" s="204">
        <v>0</v>
      </c>
      <c r="Q84" s="204">
        <v>0</v>
      </c>
      <c r="R84" s="205">
        <f t="shared" si="9"/>
        <v>-211.77791333347946</v>
      </c>
    </row>
    <row r="85" spans="1:18" x14ac:dyDescent="0.2">
      <c r="A85" s="161">
        <v>6</v>
      </c>
      <c r="B85" s="196">
        <f t="shared" si="4"/>
        <v>44348</v>
      </c>
      <c r="C85" s="220">
        <f t="shared" si="23"/>
        <v>44383</v>
      </c>
      <c r="D85" s="220">
        <f t="shared" si="23"/>
        <v>44401</v>
      </c>
      <c r="E85" s="54" t="s">
        <v>9</v>
      </c>
      <c r="F85" s="161">
        <v>9</v>
      </c>
      <c r="G85" s="199">
        <v>45</v>
      </c>
      <c r="H85" s="200">
        <f t="shared" ref="H85:H148" si="25">+$K$3</f>
        <v>20.675126363367955</v>
      </c>
      <c r="I85" s="200">
        <f t="shared" si="20"/>
        <v>14.638781214716566</v>
      </c>
      <c r="J85" s="201">
        <f t="shared" si="2"/>
        <v>658.74515466224545</v>
      </c>
      <c r="K85" s="202">
        <f t="shared" si="11"/>
        <v>930.38068635155798</v>
      </c>
      <c r="L85" s="207">
        <f t="shared" si="24"/>
        <v>-271.63553168931253</v>
      </c>
      <c r="M85" s="204">
        <f t="shared" ref="M85:M148" si="26">G85/$G$212*$M$14</f>
        <v>-8.6587653697044473</v>
      </c>
      <c r="N85" s="205">
        <f t="shared" ref="N85:N148" si="27">SUM(L85:M85)</f>
        <v>-280.29429705901697</v>
      </c>
      <c r="O85" s="204">
        <v>0</v>
      </c>
      <c r="P85" s="204">
        <v>0</v>
      </c>
      <c r="Q85" s="204">
        <v>0</v>
      </c>
      <c r="R85" s="205">
        <f t="shared" ref="R85:R148" si="28">+N85-Q85</f>
        <v>-280.29429705901697</v>
      </c>
    </row>
    <row r="86" spans="1:18" x14ac:dyDescent="0.2">
      <c r="A86" s="124">
        <v>7</v>
      </c>
      <c r="B86" s="196">
        <f t="shared" si="4"/>
        <v>44378</v>
      </c>
      <c r="C86" s="220">
        <f t="shared" si="23"/>
        <v>44412</v>
      </c>
      <c r="D86" s="220">
        <f t="shared" si="23"/>
        <v>44432</v>
      </c>
      <c r="E86" s="54" t="s">
        <v>9</v>
      </c>
      <c r="F86" s="161">
        <v>9</v>
      </c>
      <c r="G86" s="199">
        <v>48</v>
      </c>
      <c r="H86" s="200">
        <f t="shared" si="25"/>
        <v>20.675126363367955</v>
      </c>
      <c r="I86" s="200">
        <f t="shared" si="20"/>
        <v>14.638781214716566</v>
      </c>
      <c r="J86" s="201">
        <f t="shared" si="2"/>
        <v>702.66149830639517</v>
      </c>
      <c r="K86" s="208">
        <f t="shared" si="11"/>
        <v>992.40606544166189</v>
      </c>
      <c r="L86" s="207">
        <f t="shared" si="24"/>
        <v>-289.74456713526672</v>
      </c>
      <c r="M86" s="204">
        <f t="shared" si="26"/>
        <v>-9.2360163943514113</v>
      </c>
      <c r="N86" s="205">
        <f t="shared" si="27"/>
        <v>-298.98058352961812</v>
      </c>
      <c r="O86" s="204">
        <v>0</v>
      </c>
      <c r="P86" s="204">
        <v>0</v>
      </c>
      <c r="Q86" s="204">
        <v>0</v>
      </c>
      <c r="R86" s="205">
        <f t="shared" si="28"/>
        <v>-298.98058352961812</v>
      </c>
    </row>
    <row r="87" spans="1:18" x14ac:dyDescent="0.2">
      <c r="A87" s="161">
        <v>8</v>
      </c>
      <c r="B87" s="196">
        <f t="shared" si="4"/>
        <v>44409</v>
      </c>
      <c r="C87" s="220">
        <f t="shared" si="23"/>
        <v>44442</v>
      </c>
      <c r="D87" s="220">
        <f t="shared" si="23"/>
        <v>44463</v>
      </c>
      <c r="E87" s="54" t="s">
        <v>9</v>
      </c>
      <c r="F87" s="161">
        <v>9</v>
      </c>
      <c r="G87" s="199">
        <v>46</v>
      </c>
      <c r="H87" s="200">
        <f t="shared" si="25"/>
        <v>20.675126363367955</v>
      </c>
      <c r="I87" s="200">
        <f t="shared" si="20"/>
        <v>14.638781214716566</v>
      </c>
      <c r="J87" s="201">
        <f t="shared" si="2"/>
        <v>673.38393587696203</v>
      </c>
      <c r="K87" s="208">
        <f t="shared" si="11"/>
        <v>951.05581271492588</v>
      </c>
      <c r="L87" s="207">
        <f t="shared" si="24"/>
        <v>-277.67187683796385</v>
      </c>
      <c r="M87" s="204">
        <f t="shared" si="26"/>
        <v>-8.851182377920102</v>
      </c>
      <c r="N87" s="205">
        <f t="shared" si="27"/>
        <v>-286.52305921588396</v>
      </c>
      <c r="O87" s="204">
        <v>0</v>
      </c>
      <c r="P87" s="204">
        <v>0</v>
      </c>
      <c r="Q87" s="204">
        <v>0</v>
      </c>
      <c r="R87" s="205">
        <f t="shared" si="28"/>
        <v>-286.52305921588396</v>
      </c>
    </row>
    <row r="88" spans="1:18" x14ac:dyDescent="0.2">
      <c r="A88" s="161">
        <v>9</v>
      </c>
      <c r="B88" s="196">
        <f t="shared" si="4"/>
        <v>44440</v>
      </c>
      <c r="C88" s="220">
        <f t="shared" si="23"/>
        <v>44474</v>
      </c>
      <c r="D88" s="220">
        <f t="shared" si="23"/>
        <v>44494</v>
      </c>
      <c r="E88" s="54" t="s">
        <v>9</v>
      </c>
      <c r="F88" s="161">
        <v>9</v>
      </c>
      <c r="G88" s="199">
        <v>46</v>
      </c>
      <c r="H88" s="200">
        <f t="shared" si="25"/>
        <v>20.675126363367955</v>
      </c>
      <c r="I88" s="200">
        <f t="shared" si="20"/>
        <v>14.638781214716566</v>
      </c>
      <c r="J88" s="201">
        <f t="shared" si="2"/>
        <v>673.38393587696203</v>
      </c>
      <c r="K88" s="208">
        <f t="shared" si="11"/>
        <v>951.05581271492588</v>
      </c>
      <c r="L88" s="207">
        <f t="shared" si="24"/>
        <v>-277.67187683796385</v>
      </c>
      <c r="M88" s="204">
        <f t="shared" si="26"/>
        <v>-8.851182377920102</v>
      </c>
      <c r="N88" s="205">
        <f t="shared" si="27"/>
        <v>-286.52305921588396</v>
      </c>
      <c r="O88" s="204">
        <v>0</v>
      </c>
      <c r="P88" s="204">
        <v>0</v>
      </c>
      <c r="Q88" s="204">
        <v>0</v>
      </c>
      <c r="R88" s="205">
        <f t="shared" si="28"/>
        <v>-286.52305921588396</v>
      </c>
    </row>
    <row r="89" spans="1:18" x14ac:dyDescent="0.2">
      <c r="A89" s="124">
        <v>10</v>
      </c>
      <c r="B89" s="196">
        <f t="shared" si="4"/>
        <v>44470</v>
      </c>
      <c r="C89" s="220">
        <f t="shared" si="23"/>
        <v>44503</v>
      </c>
      <c r="D89" s="220">
        <f t="shared" si="23"/>
        <v>44524</v>
      </c>
      <c r="E89" s="54" t="s">
        <v>9</v>
      </c>
      <c r="F89" s="161">
        <v>9</v>
      </c>
      <c r="G89" s="199">
        <v>41</v>
      </c>
      <c r="H89" s="200">
        <f t="shared" si="25"/>
        <v>20.675126363367955</v>
      </c>
      <c r="I89" s="200">
        <f t="shared" si="20"/>
        <v>14.638781214716566</v>
      </c>
      <c r="J89" s="201">
        <f t="shared" si="2"/>
        <v>600.19002980337916</v>
      </c>
      <c r="K89" s="208">
        <f t="shared" si="11"/>
        <v>847.68018089808618</v>
      </c>
      <c r="L89" s="207">
        <f t="shared" si="24"/>
        <v>-247.49015109470702</v>
      </c>
      <c r="M89" s="204">
        <f t="shared" si="26"/>
        <v>-7.8890973368418296</v>
      </c>
      <c r="N89" s="205">
        <f t="shared" si="27"/>
        <v>-255.37924843154886</v>
      </c>
      <c r="O89" s="204">
        <v>0</v>
      </c>
      <c r="P89" s="204">
        <v>0</v>
      </c>
      <c r="Q89" s="204">
        <v>0</v>
      </c>
      <c r="R89" s="205">
        <f t="shared" si="28"/>
        <v>-255.37924843154886</v>
      </c>
    </row>
    <row r="90" spans="1:18" x14ac:dyDescent="0.2">
      <c r="A90" s="161">
        <v>11</v>
      </c>
      <c r="B90" s="196">
        <f t="shared" si="4"/>
        <v>44501</v>
      </c>
      <c r="C90" s="220">
        <f t="shared" si="23"/>
        <v>44533</v>
      </c>
      <c r="D90" s="220">
        <f t="shared" si="23"/>
        <v>44557</v>
      </c>
      <c r="E90" s="54" t="s">
        <v>9</v>
      </c>
      <c r="F90" s="161">
        <v>9</v>
      </c>
      <c r="G90" s="199">
        <v>40</v>
      </c>
      <c r="H90" s="200">
        <f t="shared" si="25"/>
        <v>20.675126363367955</v>
      </c>
      <c r="I90" s="200">
        <f t="shared" si="20"/>
        <v>14.638781214716566</v>
      </c>
      <c r="J90" s="201">
        <f t="shared" si="2"/>
        <v>585.5512485886627</v>
      </c>
      <c r="K90" s="208">
        <f t="shared" si="11"/>
        <v>827.00505453471817</v>
      </c>
      <c r="L90" s="207">
        <f t="shared" si="24"/>
        <v>-241.45380594605547</v>
      </c>
      <c r="M90" s="204">
        <f t="shared" si="26"/>
        <v>-7.6966803286261758</v>
      </c>
      <c r="N90" s="205">
        <f t="shared" si="27"/>
        <v>-249.15048627468164</v>
      </c>
      <c r="O90" s="204">
        <v>0</v>
      </c>
      <c r="P90" s="204">
        <v>0</v>
      </c>
      <c r="Q90" s="204">
        <v>0</v>
      </c>
      <c r="R90" s="205">
        <f t="shared" si="28"/>
        <v>-249.15048627468164</v>
      </c>
    </row>
    <row r="91" spans="1:18" s="224" customFormat="1" x14ac:dyDescent="0.2">
      <c r="A91" s="161">
        <v>12</v>
      </c>
      <c r="B91" s="222">
        <f t="shared" si="4"/>
        <v>44531</v>
      </c>
      <c r="C91" s="220">
        <f t="shared" si="23"/>
        <v>44566</v>
      </c>
      <c r="D91" s="220">
        <f t="shared" si="23"/>
        <v>44585</v>
      </c>
      <c r="E91" s="223" t="s">
        <v>9</v>
      </c>
      <c r="F91" s="172">
        <v>9</v>
      </c>
      <c r="G91" s="211">
        <v>39</v>
      </c>
      <c r="H91" s="212">
        <f t="shared" si="25"/>
        <v>20.675126363367955</v>
      </c>
      <c r="I91" s="212">
        <f t="shared" si="20"/>
        <v>14.638781214716566</v>
      </c>
      <c r="J91" s="213">
        <f t="shared" si="2"/>
        <v>570.91246737394613</v>
      </c>
      <c r="K91" s="214">
        <f t="shared" si="11"/>
        <v>806.32992817135028</v>
      </c>
      <c r="L91" s="215">
        <f t="shared" si="24"/>
        <v>-235.41746079740415</v>
      </c>
      <c r="M91" s="204">
        <f t="shared" si="26"/>
        <v>-7.5042633204105211</v>
      </c>
      <c r="N91" s="205">
        <f t="shared" si="27"/>
        <v>-242.92172411781468</v>
      </c>
      <c r="O91" s="204">
        <v>0</v>
      </c>
      <c r="P91" s="204">
        <v>0</v>
      </c>
      <c r="Q91" s="204">
        <v>0</v>
      </c>
      <c r="R91" s="205">
        <f t="shared" si="28"/>
        <v>-242.92172411781468</v>
      </c>
    </row>
    <row r="92" spans="1:18" x14ac:dyDescent="0.2">
      <c r="A92" s="124">
        <v>1</v>
      </c>
      <c r="B92" s="196">
        <f t="shared" si="4"/>
        <v>44197</v>
      </c>
      <c r="C92" s="217">
        <f t="shared" ref="C92:D95" si="29">+C80</f>
        <v>44230</v>
      </c>
      <c r="D92" s="217">
        <f t="shared" si="29"/>
        <v>44251</v>
      </c>
      <c r="E92" s="198" t="s">
        <v>8</v>
      </c>
      <c r="F92" s="124">
        <v>9</v>
      </c>
      <c r="G92" s="199">
        <v>76</v>
      </c>
      <c r="H92" s="200">
        <f t="shared" si="25"/>
        <v>20.675126363367955</v>
      </c>
      <c r="I92" s="200">
        <f t="shared" si="20"/>
        <v>14.638781214716566</v>
      </c>
      <c r="J92" s="201">
        <f t="shared" si="2"/>
        <v>1112.5473723184591</v>
      </c>
      <c r="K92" s="202">
        <f t="shared" si="11"/>
        <v>1571.3096036159645</v>
      </c>
      <c r="L92" s="203">
        <f t="shared" si="24"/>
        <v>-458.76223129750542</v>
      </c>
      <c r="M92" s="204">
        <f t="shared" si="26"/>
        <v>-14.623692624389735</v>
      </c>
      <c r="N92" s="205">
        <f t="shared" si="27"/>
        <v>-473.38592392189514</v>
      </c>
      <c r="O92" s="204">
        <v>0</v>
      </c>
      <c r="P92" s="204">
        <v>0</v>
      </c>
      <c r="Q92" s="204">
        <v>0</v>
      </c>
      <c r="R92" s="205">
        <f t="shared" si="28"/>
        <v>-473.38592392189514</v>
      </c>
    </row>
    <row r="93" spans="1:18" x14ac:dyDescent="0.2">
      <c r="A93" s="161">
        <v>2</v>
      </c>
      <c r="B93" s="196">
        <f t="shared" si="4"/>
        <v>44228</v>
      </c>
      <c r="C93" s="220">
        <f t="shared" si="29"/>
        <v>44258</v>
      </c>
      <c r="D93" s="220">
        <f t="shared" si="29"/>
        <v>44279</v>
      </c>
      <c r="E93" s="206" t="s">
        <v>8</v>
      </c>
      <c r="F93" s="161">
        <v>9</v>
      </c>
      <c r="G93" s="199">
        <v>99</v>
      </c>
      <c r="H93" s="200">
        <f t="shared" si="25"/>
        <v>20.675126363367955</v>
      </c>
      <c r="I93" s="200">
        <f t="shared" si="20"/>
        <v>14.638781214716566</v>
      </c>
      <c r="J93" s="201">
        <f t="shared" si="2"/>
        <v>1449.2393402569401</v>
      </c>
      <c r="K93" s="202">
        <f t="shared" si="11"/>
        <v>2046.8375099734276</v>
      </c>
      <c r="L93" s="203">
        <f t="shared" si="24"/>
        <v>-597.59816971648752</v>
      </c>
      <c r="M93" s="204">
        <f t="shared" si="26"/>
        <v>-19.049283813349788</v>
      </c>
      <c r="N93" s="205">
        <f t="shared" si="27"/>
        <v>-616.64745352983732</v>
      </c>
      <c r="O93" s="204">
        <v>0</v>
      </c>
      <c r="P93" s="204">
        <v>0</v>
      </c>
      <c r="Q93" s="204">
        <v>0</v>
      </c>
      <c r="R93" s="205">
        <f t="shared" si="28"/>
        <v>-616.64745352983732</v>
      </c>
    </row>
    <row r="94" spans="1:18" x14ac:dyDescent="0.2">
      <c r="A94" s="161">
        <v>3</v>
      </c>
      <c r="B94" s="196">
        <f t="shared" si="4"/>
        <v>44256</v>
      </c>
      <c r="C94" s="220">
        <f t="shared" si="29"/>
        <v>44291</v>
      </c>
      <c r="D94" s="220">
        <f t="shared" si="29"/>
        <v>44312</v>
      </c>
      <c r="E94" s="206" t="s">
        <v>8</v>
      </c>
      <c r="F94" s="161">
        <v>9</v>
      </c>
      <c r="G94" s="199">
        <v>66</v>
      </c>
      <c r="H94" s="200">
        <f t="shared" si="25"/>
        <v>20.675126363367955</v>
      </c>
      <c r="I94" s="200">
        <f t="shared" si="20"/>
        <v>14.638781214716566</v>
      </c>
      <c r="J94" s="201">
        <f t="shared" si="2"/>
        <v>966.15956017129338</v>
      </c>
      <c r="K94" s="202">
        <f t="shared" ref="K94:K133" si="30">+$G94*H94</f>
        <v>1364.5583399822851</v>
      </c>
      <c r="L94" s="203">
        <f>+J94-K94</f>
        <v>-398.39877981099175</v>
      </c>
      <c r="M94" s="204">
        <f t="shared" si="26"/>
        <v>-12.69952254223319</v>
      </c>
      <c r="N94" s="205">
        <f t="shared" si="27"/>
        <v>-411.09830235322494</v>
      </c>
      <c r="O94" s="204">
        <v>0</v>
      </c>
      <c r="P94" s="204">
        <v>0</v>
      </c>
      <c r="Q94" s="204">
        <v>0</v>
      </c>
      <c r="R94" s="205">
        <f t="shared" si="28"/>
        <v>-411.09830235322494</v>
      </c>
    </row>
    <row r="95" spans="1:18" x14ac:dyDescent="0.2">
      <c r="A95" s="124">
        <v>4</v>
      </c>
      <c r="B95" s="196">
        <f t="shared" si="4"/>
        <v>44287</v>
      </c>
      <c r="C95" s="220">
        <f t="shared" si="29"/>
        <v>44321</v>
      </c>
      <c r="D95" s="220">
        <f t="shared" si="29"/>
        <v>44340</v>
      </c>
      <c r="E95" s="206" t="s">
        <v>8</v>
      </c>
      <c r="F95" s="161">
        <v>9</v>
      </c>
      <c r="G95" s="199">
        <v>67</v>
      </c>
      <c r="H95" s="200">
        <f t="shared" si="25"/>
        <v>20.675126363367955</v>
      </c>
      <c r="I95" s="200">
        <f t="shared" si="20"/>
        <v>14.638781214716566</v>
      </c>
      <c r="J95" s="201">
        <f t="shared" si="2"/>
        <v>980.79834138600995</v>
      </c>
      <c r="K95" s="202">
        <f t="shared" si="30"/>
        <v>1385.2334663456529</v>
      </c>
      <c r="L95" s="203">
        <f t="shared" ref="L95:L105" si="31">+J95-K95</f>
        <v>-404.43512495964296</v>
      </c>
      <c r="M95" s="204">
        <f t="shared" si="26"/>
        <v>-12.891939550448843</v>
      </c>
      <c r="N95" s="205">
        <f t="shared" si="27"/>
        <v>-417.32706451009182</v>
      </c>
      <c r="O95" s="204">
        <v>0</v>
      </c>
      <c r="P95" s="204">
        <v>0</v>
      </c>
      <c r="Q95" s="204">
        <v>0</v>
      </c>
      <c r="R95" s="205">
        <f t="shared" si="28"/>
        <v>-417.32706451009182</v>
      </c>
    </row>
    <row r="96" spans="1:18" x14ac:dyDescent="0.2">
      <c r="A96" s="161">
        <v>5</v>
      </c>
      <c r="B96" s="196">
        <f t="shared" si="4"/>
        <v>44317</v>
      </c>
      <c r="C96" s="220">
        <f t="shared" ref="C96:D116" si="32">+C84</f>
        <v>44350</v>
      </c>
      <c r="D96" s="220">
        <f t="shared" si="32"/>
        <v>44371</v>
      </c>
      <c r="E96" s="54" t="s">
        <v>8</v>
      </c>
      <c r="F96" s="161">
        <v>9</v>
      </c>
      <c r="G96" s="199">
        <v>101</v>
      </c>
      <c r="H96" s="200">
        <f t="shared" si="25"/>
        <v>20.675126363367955</v>
      </c>
      <c r="I96" s="200">
        <f t="shared" si="20"/>
        <v>14.638781214716566</v>
      </c>
      <c r="J96" s="201">
        <f t="shared" si="2"/>
        <v>1478.5169026863732</v>
      </c>
      <c r="K96" s="202">
        <f t="shared" si="30"/>
        <v>2088.1877627001636</v>
      </c>
      <c r="L96" s="203">
        <f t="shared" si="31"/>
        <v>-609.67086001379039</v>
      </c>
      <c r="M96" s="204">
        <f t="shared" si="26"/>
        <v>-19.434117829781094</v>
      </c>
      <c r="N96" s="205">
        <f t="shared" si="27"/>
        <v>-629.10497784357153</v>
      </c>
      <c r="O96" s="204">
        <v>0</v>
      </c>
      <c r="P96" s="204">
        <v>0</v>
      </c>
      <c r="Q96" s="204">
        <v>0</v>
      </c>
      <c r="R96" s="205">
        <f t="shared" si="28"/>
        <v>-629.10497784357153</v>
      </c>
    </row>
    <row r="97" spans="1:18" x14ac:dyDescent="0.2">
      <c r="A97" s="161">
        <v>6</v>
      </c>
      <c r="B97" s="196">
        <f t="shared" si="4"/>
        <v>44348</v>
      </c>
      <c r="C97" s="220">
        <f t="shared" si="32"/>
        <v>44383</v>
      </c>
      <c r="D97" s="220">
        <f t="shared" si="32"/>
        <v>44401</v>
      </c>
      <c r="E97" s="54" t="s">
        <v>8</v>
      </c>
      <c r="F97" s="161">
        <v>9</v>
      </c>
      <c r="G97" s="199">
        <v>141</v>
      </c>
      <c r="H97" s="200">
        <f t="shared" si="25"/>
        <v>20.675126363367955</v>
      </c>
      <c r="I97" s="200">
        <f t="shared" si="20"/>
        <v>14.638781214716566</v>
      </c>
      <c r="J97" s="201">
        <f t="shared" si="2"/>
        <v>2064.0681512750357</v>
      </c>
      <c r="K97" s="202">
        <f t="shared" si="30"/>
        <v>2915.1928172348817</v>
      </c>
      <c r="L97" s="207">
        <f t="shared" si="31"/>
        <v>-851.12466595984597</v>
      </c>
      <c r="M97" s="204">
        <f t="shared" si="26"/>
        <v>-27.13079815840727</v>
      </c>
      <c r="N97" s="205">
        <f t="shared" si="27"/>
        <v>-878.25546411825326</v>
      </c>
      <c r="O97" s="204">
        <v>0</v>
      </c>
      <c r="P97" s="204">
        <v>0</v>
      </c>
      <c r="Q97" s="204">
        <v>0</v>
      </c>
      <c r="R97" s="205">
        <f t="shared" si="28"/>
        <v>-878.25546411825326</v>
      </c>
    </row>
    <row r="98" spans="1:18" x14ac:dyDescent="0.2">
      <c r="A98" s="124">
        <v>7</v>
      </c>
      <c r="B98" s="196">
        <f t="shared" si="4"/>
        <v>44378</v>
      </c>
      <c r="C98" s="220">
        <f t="shared" si="32"/>
        <v>44412</v>
      </c>
      <c r="D98" s="220">
        <f t="shared" si="32"/>
        <v>44432</v>
      </c>
      <c r="E98" s="54" t="s">
        <v>8</v>
      </c>
      <c r="F98" s="161">
        <v>9</v>
      </c>
      <c r="G98" s="199">
        <v>145</v>
      </c>
      <c r="H98" s="200">
        <f t="shared" si="25"/>
        <v>20.675126363367955</v>
      </c>
      <c r="I98" s="200">
        <f t="shared" si="20"/>
        <v>14.638781214716566</v>
      </c>
      <c r="J98" s="201">
        <f t="shared" si="2"/>
        <v>2122.623276133902</v>
      </c>
      <c r="K98" s="208">
        <f t="shared" si="30"/>
        <v>2997.8933226883537</v>
      </c>
      <c r="L98" s="207">
        <f t="shared" si="31"/>
        <v>-875.27004655445171</v>
      </c>
      <c r="M98" s="204">
        <f t="shared" si="26"/>
        <v>-27.900466191269889</v>
      </c>
      <c r="N98" s="205">
        <f t="shared" si="27"/>
        <v>-903.17051274572157</v>
      </c>
      <c r="O98" s="204">
        <v>0</v>
      </c>
      <c r="P98" s="204">
        <v>0</v>
      </c>
      <c r="Q98" s="204">
        <v>0</v>
      </c>
      <c r="R98" s="205">
        <f t="shared" si="28"/>
        <v>-903.17051274572157</v>
      </c>
    </row>
    <row r="99" spans="1:18" x14ac:dyDescent="0.2">
      <c r="A99" s="161">
        <v>8</v>
      </c>
      <c r="B99" s="196">
        <f t="shared" si="4"/>
        <v>44409</v>
      </c>
      <c r="C99" s="220">
        <f t="shared" si="32"/>
        <v>44442</v>
      </c>
      <c r="D99" s="220">
        <f t="shared" si="32"/>
        <v>44463</v>
      </c>
      <c r="E99" s="54" t="s">
        <v>8</v>
      </c>
      <c r="F99" s="161">
        <v>9</v>
      </c>
      <c r="G99" s="199">
        <v>149</v>
      </c>
      <c r="H99" s="200">
        <f t="shared" si="25"/>
        <v>20.675126363367955</v>
      </c>
      <c r="I99" s="200">
        <f t="shared" si="20"/>
        <v>14.638781214716566</v>
      </c>
      <c r="J99" s="201">
        <f t="shared" si="2"/>
        <v>2181.1784009927683</v>
      </c>
      <c r="K99" s="208">
        <f t="shared" si="30"/>
        <v>3080.5938281418253</v>
      </c>
      <c r="L99" s="207">
        <f t="shared" si="31"/>
        <v>-899.415427149057</v>
      </c>
      <c r="M99" s="204">
        <f t="shared" si="26"/>
        <v>-28.670134224132504</v>
      </c>
      <c r="N99" s="205">
        <f t="shared" si="27"/>
        <v>-928.08556137318953</v>
      </c>
      <c r="O99" s="204">
        <v>0</v>
      </c>
      <c r="P99" s="204">
        <v>0</v>
      </c>
      <c r="Q99" s="204">
        <v>0</v>
      </c>
      <c r="R99" s="205">
        <f t="shared" si="28"/>
        <v>-928.08556137318953</v>
      </c>
    </row>
    <row r="100" spans="1:18" x14ac:dyDescent="0.2">
      <c r="A100" s="161">
        <v>9</v>
      </c>
      <c r="B100" s="196">
        <f t="shared" si="4"/>
        <v>44440</v>
      </c>
      <c r="C100" s="220">
        <f t="shared" si="32"/>
        <v>44474</v>
      </c>
      <c r="D100" s="220">
        <f t="shared" si="32"/>
        <v>44494</v>
      </c>
      <c r="E100" s="54" t="s">
        <v>8</v>
      </c>
      <c r="F100" s="161">
        <v>9</v>
      </c>
      <c r="G100" s="199">
        <v>150</v>
      </c>
      <c r="H100" s="200">
        <f t="shared" si="25"/>
        <v>20.675126363367955</v>
      </c>
      <c r="I100" s="200">
        <f t="shared" si="20"/>
        <v>14.638781214716566</v>
      </c>
      <c r="J100" s="201">
        <f t="shared" si="2"/>
        <v>2195.8171822074851</v>
      </c>
      <c r="K100" s="208">
        <f t="shared" si="30"/>
        <v>3101.2689545051931</v>
      </c>
      <c r="L100" s="207">
        <f t="shared" si="31"/>
        <v>-905.45177229770798</v>
      </c>
      <c r="M100" s="204">
        <f t="shared" si="26"/>
        <v>-28.86255123234816</v>
      </c>
      <c r="N100" s="205">
        <f t="shared" si="27"/>
        <v>-934.31432353005619</v>
      </c>
      <c r="O100" s="204">
        <v>0</v>
      </c>
      <c r="P100" s="204">
        <v>0</v>
      </c>
      <c r="Q100" s="204">
        <v>0</v>
      </c>
      <c r="R100" s="205">
        <f t="shared" si="28"/>
        <v>-934.31432353005619</v>
      </c>
    </row>
    <row r="101" spans="1:18" x14ac:dyDescent="0.2">
      <c r="A101" s="124">
        <v>10</v>
      </c>
      <c r="B101" s="196">
        <f t="shared" si="4"/>
        <v>44470</v>
      </c>
      <c r="C101" s="220">
        <f t="shared" si="32"/>
        <v>44503</v>
      </c>
      <c r="D101" s="220">
        <f t="shared" si="32"/>
        <v>44524</v>
      </c>
      <c r="E101" s="54" t="s">
        <v>8</v>
      </c>
      <c r="F101" s="161">
        <v>9</v>
      </c>
      <c r="G101" s="199">
        <v>114</v>
      </c>
      <c r="H101" s="200">
        <f t="shared" si="25"/>
        <v>20.675126363367955</v>
      </c>
      <c r="I101" s="200">
        <f t="shared" si="20"/>
        <v>14.638781214716566</v>
      </c>
      <c r="J101" s="201">
        <f t="shared" si="2"/>
        <v>1668.8210584776884</v>
      </c>
      <c r="K101" s="208">
        <f t="shared" si="30"/>
        <v>2356.964405423947</v>
      </c>
      <c r="L101" s="207">
        <f t="shared" si="31"/>
        <v>-688.14334694625859</v>
      </c>
      <c r="M101" s="204">
        <f t="shared" si="26"/>
        <v>-21.935538936584599</v>
      </c>
      <c r="N101" s="205">
        <f t="shared" si="27"/>
        <v>-710.07888588284322</v>
      </c>
      <c r="O101" s="204">
        <v>0</v>
      </c>
      <c r="P101" s="204">
        <v>0</v>
      </c>
      <c r="Q101" s="204">
        <v>0</v>
      </c>
      <c r="R101" s="205">
        <f t="shared" si="28"/>
        <v>-710.07888588284322</v>
      </c>
    </row>
    <row r="102" spans="1:18" x14ac:dyDescent="0.2">
      <c r="A102" s="161">
        <v>11</v>
      </c>
      <c r="B102" s="196">
        <f t="shared" si="4"/>
        <v>44501</v>
      </c>
      <c r="C102" s="220">
        <f t="shared" si="32"/>
        <v>44533</v>
      </c>
      <c r="D102" s="220">
        <f t="shared" si="32"/>
        <v>44557</v>
      </c>
      <c r="E102" s="54" t="s">
        <v>8</v>
      </c>
      <c r="F102" s="161">
        <v>9</v>
      </c>
      <c r="G102" s="199">
        <v>66</v>
      </c>
      <c r="H102" s="200">
        <f t="shared" si="25"/>
        <v>20.675126363367955</v>
      </c>
      <c r="I102" s="200">
        <f t="shared" si="20"/>
        <v>14.638781214716566</v>
      </c>
      <c r="J102" s="201">
        <f t="shared" si="2"/>
        <v>966.15956017129338</v>
      </c>
      <c r="K102" s="208">
        <f t="shared" si="30"/>
        <v>1364.5583399822851</v>
      </c>
      <c r="L102" s="207">
        <f t="shared" si="31"/>
        <v>-398.39877981099175</v>
      </c>
      <c r="M102" s="204">
        <f t="shared" si="26"/>
        <v>-12.69952254223319</v>
      </c>
      <c r="N102" s="205">
        <f t="shared" si="27"/>
        <v>-411.09830235322494</v>
      </c>
      <c r="O102" s="204">
        <v>0</v>
      </c>
      <c r="P102" s="204">
        <v>0</v>
      </c>
      <c r="Q102" s="204">
        <v>0</v>
      </c>
      <c r="R102" s="205">
        <f t="shared" si="28"/>
        <v>-411.09830235322494</v>
      </c>
    </row>
    <row r="103" spans="1:18" s="224" customFormat="1" x14ac:dyDescent="0.2">
      <c r="A103" s="161">
        <v>12</v>
      </c>
      <c r="B103" s="222">
        <f t="shared" si="4"/>
        <v>44531</v>
      </c>
      <c r="C103" s="220">
        <f t="shared" si="32"/>
        <v>44566</v>
      </c>
      <c r="D103" s="220">
        <f t="shared" si="32"/>
        <v>44585</v>
      </c>
      <c r="E103" s="223" t="s">
        <v>8</v>
      </c>
      <c r="F103" s="172">
        <v>9</v>
      </c>
      <c r="G103" s="211">
        <v>72</v>
      </c>
      <c r="H103" s="212">
        <f t="shared" si="25"/>
        <v>20.675126363367955</v>
      </c>
      <c r="I103" s="212">
        <f t="shared" si="20"/>
        <v>14.638781214716566</v>
      </c>
      <c r="J103" s="213">
        <f t="shared" si="2"/>
        <v>1053.9922474595928</v>
      </c>
      <c r="K103" s="214">
        <f t="shared" si="30"/>
        <v>1488.6090981624927</v>
      </c>
      <c r="L103" s="215">
        <f t="shared" si="31"/>
        <v>-434.61685070289991</v>
      </c>
      <c r="M103" s="204">
        <f t="shared" si="26"/>
        <v>-13.854024591527116</v>
      </c>
      <c r="N103" s="205">
        <f t="shared" si="27"/>
        <v>-448.470875294427</v>
      </c>
      <c r="O103" s="204">
        <v>0</v>
      </c>
      <c r="P103" s="204">
        <v>0</v>
      </c>
      <c r="Q103" s="204">
        <v>0</v>
      </c>
      <c r="R103" s="205">
        <f t="shared" si="28"/>
        <v>-448.470875294427</v>
      </c>
    </row>
    <row r="104" spans="1:18" x14ac:dyDescent="0.2">
      <c r="A104" s="124">
        <v>1</v>
      </c>
      <c r="B104" s="196">
        <f t="shared" si="4"/>
        <v>44197</v>
      </c>
      <c r="C104" s="217">
        <f t="shared" si="32"/>
        <v>44230</v>
      </c>
      <c r="D104" s="217">
        <f t="shared" si="32"/>
        <v>44251</v>
      </c>
      <c r="E104" s="198" t="s">
        <v>19</v>
      </c>
      <c r="F104" s="124">
        <v>9</v>
      </c>
      <c r="G104" s="199">
        <v>37</v>
      </c>
      <c r="H104" s="200">
        <f t="shared" si="25"/>
        <v>20.675126363367955</v>
      </c>
      <c r="I104" s="200">
        <f t="shared" si="20"/>
        <v>14.638781214716566</v>
      </c>
      <c r="J104" s="201">
        <f t="shared" si="2"/>
        <v>541.63490494451298</v>
      </c>
      <c r="K104" s="202">
        <f t="shared" si="30"/>
        <v>764.97967544461437</v>
      </c>
      <c r="L104" s="203">
        <f t="shared" si="31"/>
        <v>-223.34477050010139</v>
      </c>
      <c r="M104" s="204">
        <f t="shared" si="26"/>
        <v>-7.1194293039792127</v>
      </c>
      <c r="N104" s="205">
        <f t="shared" si="27"/>
        <v>-230.46419980408061</v>
      </c>
      <c r="O104" s="204">
        <v>0</v>
      </c>
      <c r="P104" s="204">
        <v>0</v>
      </c>
      <c r="Q104" s="204">
        <v>0</v>
      </c>
      <c r="R104" s="205">
        <f t="shared" si="28"/>
        <v>-230.46419980408061</v>
      </c>
    </row>
    <row r="105" spans="1:18" x14ac:dyDescent="0.2">
      <c r="A105" s="161">
        <v>2</v>
      </c>
      <c r="B105" s="196">
        <f t="shared" si="4"/>
        <v>44228</v>
      </c>
      <c r="C105" s="220">
        <f t="shared" si="32"/>
        <v>44258</v>
      </c>
      <c r="D105" s="220">
        <f t="shared" si="32"/>
        <v>44279</v>
      </c>
      <c r="E105" s="206" t="s">
        <v>19</v>
      </c>
      <c r="F105" s="161">
        <v>9</v>
      </c>
      <c r="G105" s="199">
        <v>33</v>
      </c>
      <c r="H105" s="200">
        <f t="shared" si="25"/>
        <v>20.675126363367955</v>
      </c>
      <c r="I105" s="200">
        <f t="shared" si="20"/>
        <v>14.638781214716566</v>
      </c>
      <c r="J105" s="201">
        <f t="shared" si="2"/>
        <v>483.07978008564669</v>
      </c>
      <c r="K105" s="202">
        <f t="shared" si="30"/>
        <v>682.27916999114257</v>
      </c>
      <c r="L105" s="203">
        <f t="shared" si="31"/>
        <v>-199.19938990549588</v>
      </c>
      <c r="M105" s="204">
        <f t="shared" si="26"/>
        <v>-6.3497612711165949</v>
      </c>
      <c r="N105" s="205">
        <f t="shared" si="27"/>
        <v>-205.54915117661247</v>
      </c>
      <c r="O105" s="204">
        <v>0</v>
      </c>
      <c r="P105" s="204">
        <v>0</v>
      </c>
      <c r="Q105" s="204">
        <v>0</v>
      </c>
      <c r="R105" s="205">
        <f t="shared" si="28"/>
        <v>-205.54915117661247</v>
      </c>
    </row>
    <row r="106" spans="1:18" x14ac:dyDescent="0.2">
      <c r="A106" s="161">
        <v>3</v>
      </c>
      <c r="B106" s="196">
        <f t="shared" si="4"/>
        <v>44256</v>
      </c>
      <c r="C106" s="220">
        <f t="shared" si="32"/>
        <v>44291</v>
      </c>
      <c r="D106" s="220">
        <f t="shared" si="32"/>
        <v>44312</v>
      </c>
      <c r="E106" s="206" t="s">
        <v>19</v>
      </c>
      <c r="F106" s="161">
        <v>9</v>
      </c>
      <c r="G106" s="199">
        <v>47</v>
      </c>
      <c r="H106" s="200">
        <f t="shared" si="25"/>
        <v>20.675126363367955</v>
      </c>
      <c r="I106" s="200">
        <f t="shared" si="20"/>
        <v>14.638781214716566</v>
      </c>
      <c r="J106" s="201">
        <f t="shared" si="2"/>
        <v>688.0227170916786</v>
      </c>
      <c r="K106" s="202">
        <f t="shared" si="30"/>
        <v>971.73093907829389</v>
      </c>
      <c r="L106" s="203">
        <f>+J106-K106</f>
        <v>-283.70822198661529</v>
      </c>
      <c r="M106" s="204">
        <f t="shared" si="26"/>
        <v>-9.0435993861357566</v>
      </c>
      <c r="N106" s="205">
        <f t="shared" si="27"/>
        <v>-292.75182137275107</v>
      </c>
      <c r="O106" s="204">
        <v>0</v>
      </c>
      <c r="P106" s="204">
        <v>0</v>
      </c>
      <c r="Q106" s="204">
        <v>0</v>
      </c>
      <c r="R106" s="205">
        <f t="shared" si="28"/>
        <v>-292.75182137275107</v>
      </c>
    </row>
    <row r="107" spans="1:18" x14ac:dyDescent="0.2">
      <c r="A107" s="124">
        <v>4</v>
      </c>
      <c r="B107" s="196">
        <f t="shared" si="4"/>
        <v>44287</v>
      </c>
      <c r="C107" s="220">
        <f t="shared" si="32"/>
        <v>44321</v>
      </c>
      <c r="D107" s="220">
        <f t="shared" si="32"/>
        <v>44340</v>
      </c>
      <c r="E107" s="54" t="s">
        <v>19</v>
      </c>
      <c r="F107" s="161">
        <v>9</v>
      </c>
      <c r="G107" s="199">
        <v>39</v>
      </c>
      <c r="H107" s="200">
        <f t="shared" si="25"/>
        <v>20.675126363367955</v>
      </c>
      <c r="I107" s="200">
        <f t="shared" si="20"/>
        <v>14.638781214716566</v>
      </c>
      <c r="J107" s="201">
        <f t="shared" si="2"/>
        <v>570.91246737394613</v>
      </c>
      <c r="K107" s="202">
        <f t="shared" si="30"/>
        <v>806.32992817135028</v>
      </c>
      <c r="L107" s="203">
        <f t="shared" ref="L107:L115" si="33">+J107-K107</f>
        <v>-235.41746079740415</v>
      </c>
      <c r="M107" s="204">
        <f t="shared" si="26"/>
        <v>-7.5042633204105211</v>
      </c>
      <c r="N107" s="205">
        <f t="shared" si="27"/>
        <v>-242.92172411781468</v>
      </c>
      <c r="O107" s="204">
        <v>0</v>
      </c>
      <c r="P107" s="204">
        <v>0</v>
      </c>
      <c r="Q107" s="204">
        <v>0</v>
      </c>
      <c r="R107" s="205">
        <f t="shared" si="28"/>
        <v>-242.92172411781468</v>
      </c>
    </row>
    <row r="108" spans="1:18" x14ac:dyDescent="0.2">
      <c r="A108" s="161">
        <v>5</v>
      </c>
      <c r="B108" s="196">
        <f t="shared" si="4"/>
        <v>44317</v>
      </c>
      <c r="C108" s="220">
        <f t="shared" si="32"/>
        <v>44350</v>
      </c>
      <c r="D108" s="220">
        <f t="shared" si="32"/>
        <v>44371</v>
      </c>
      <c r="E108" s="54" t="s">
        <v>19</v>
      </c>
      <c r="F108" s="161">
        <v>9</v>
      </c>
      <c r="G108" s="199">
        <v>46</v>
      </c>
      <c r="H108" s="200">
        <f t="shared" si="25"/>
        <v>20.675126363367955</v>
      </c>
      <c r="I108" s="200">
        <f t="shared" ref="I108:I127" si="34">$J$3</f>
        <v>14.638781214716566</v>
      </c>
      <c r="J108" s="201">
        <f t="shared" si="2"/>
        <v>673.38393587696203</v>
      </c>
      <c r="K108" s="202">
        <f t="shared" si="30"/>
        <v>951.05581271492588</v>
      </c>
      <c r="L108" s="203">
        <f t="shared" si="33"/>
        <v>-277.67187683796385</v>
      </c>
      <c r="M108" s="204">
        <f t="shared" si="26"/>
        <v>-8.851182377920102</v>
      </c>
      <c r="N108" s="205">
        <f t="shared" si="27"/>
        <v>-286.52305921588396</v>
      </c>
      <c r="O108" s="204">
        <v>0</v>
      </c>
      <c r="P108" s="204">
        <v>0</v>
      </c>
      <c r="Q108" s="204">
        <v>0</v>
      </c>
      <c r="R108" s="205">
        <f t="shared" si="28"/>
        <v>-286.52305921588396</v>
      </c>
    </row>
    <row r="109" spans="1:18" x14ac:dyDescent="0.2">
      <c r="A109" s="161">
        <v>6</v>
      </c>
      <c r="B109" s="196">
        <f t="shared" ref="B109:B148" si="35">DATE($R$1,A109,1)</f>
        <v>44348</v>
      </c>
      <c r="C109" s="220">
        <f t="shared" si="32"/>
        <v>44383</v>
      </c>
      <c r="D109" s="220">
        <f t="shared" si="32"/>
        <v>44401</v>
      </c>
      <c r="E109" s="54" t="s">
        <v>19</v>
      </c>
      <c r="F109" s="161">
        <v>9</v>
      </c>
      <c r="G109" s="199">
        <v>51</v>
      </c>
      <c r="H109" s="200">
        <f t="shared" si="25"/>
        <v>20.675126363367955</v>
      </c>
      <c r="I109" s="200">
        <f t="shared" si="34"/>
        <v>14.638781214716566</v>
      </c>
      <c r="J109" s="201">
        <f t="shared" ref="J109:J148" si="36">+$G109*I109</f>
        <v>746.57784195054489</v>
      </c>
      <c r="K109" s="202">
        <f t="shared" si="30"/>
        <v>1054.4314445317657</v>
      </c>
      <c r="L109" s="207">
        <f t="shared" si="33"/>
        <v>-307.8536025812208</v>
      </c>
      <c r="M109" s="204">
        <f t="shared" si="26"/>
        <v>-9.8132674189983753</v>
      </c>
      <c r="N109" s="205">
        <f t="shared" si="27"/>
        <v>-317.66687000021915</v>
      </c>
      <c r="O109" s="204">
        <v>0</v>
      </c>
      <c r="P109" s="204">
        <v>0</v>
      </c>
      <c r="Q109" s="204">
        <v>0</v>
      </c>
      <c r="R109" s="205">
        <f t="shared" si="28"/>
        <v>-317.66687000021915</v>
      </c>
    </row>
    <row r="110" spans="1:18" x14ac:dyDescent="0.2">
      <c r="A110" s="124">
        <v>7</v>
      </c>
      <c r="B110" s="196">
        <f t="shared" si="35"/>
        <v>44378</v>
      </c>
      <c r="C110" s="220">
        <f t="shared" si="32"/>
        <v>44412</v>
      </c>
      <c r="D110" s="220">
        <f t="shared" si="32"/>
        <v>44432</v>
      </c>
      <c r="E110" s="54" t="s">
        <v>19</v>
      </c>
      <c r="F110" s="161">
        <v>9</v>
      </c>
      <c r="G110" s="199">
        <v>46</v>
      </c>
      <c r="H110" s="200">
        <f t="shared" si="25"/>
        <v>20.675126363367955</v>
      </c>
      <c r="I110" s="200">
        <f t="shared" si="34"/>
        <v>14.638781214716566</v>
      </c>
      <c r="J110" s="201">
        <f t="shared" si="36"/>
        <v>673.38393587696203</v>
      </c>
      <c r="K110" s="208">
        <f t="shared" si="30"/>
        <v>951.05581271492588</v>
      </c>
      <c r="L110" s="207">
        <f t="shared" si="33"/>
        <v>-277.67187683796385</v>
      </c>
      <c r="M110" s="204">
        <f t="shared" si="26"/>
        <v>-8.851182377920102</v>
      </c>
      <c r="N110" s="205">
        <f t="shared" si="27"/>
        <v>-286.52305921588396</v>
      </c>
      <c r="O110" s="204">
        <v>0</v>
      </c>
      <c r="P110" s="204">
        <v>0</v>
      </c>
      <c r="Q110" s="204">
        <v>0</v>
      </c>
      <c r="R110" s="205">
        <f t="shared" si="28"/>
        <v>-286.52305921588396</v>
      </c>
    </row>
    <row r="111" spans="1:18" x14ac:dyDescent="0.2">
      <c r="A111" s="161">
        <v>8</v>
      </c>
      <c r="B111" s="196">
        <f t="shared" si="35"/>
        <v>44409</v>
      </c>
      <c r="C111" s="220">
        <f t="shared" si="32"/>
        <v>44442</v>
      </c>
      <c r="D111" s="220">
        <f t="shared" si="32"/>
        <v>44463</v>
      </c>
      <c r="E111" s="54" t="s">
        <v>19</v>
      </c>
      <c r="F111" s="161">
        <v>9</v>
      </c>
      <c r="G111" s="199">
        <v>50</v>
      </c>
      <c r="H111" s="200">
        <f t="shared" si="25"/>
        <v>20.675126363367955</v>
      </c>
      <c r="I111" s="200">
        <f t="shared" si="34"/>
        <v>14.638781214716566</v>
      </c>
      <c r="J111" s="201">
        <f t="shared" si="36"/>
        <v>731.93906073582832</v>
      </c>
      <c r="K111" s="208">
        <f t="shared" si="30"/>
        <v>1033.7563181683977</v>
      </c>
      <c r="L111" s="207">
        <f t="shared" si="33"/>
        <v>-301.81725743256936</v>
      </c>
      <c r="M111" s="204">
        <f t="shared" si="26"/>
        <v>-9.6208504107827206</v>
      </c>
      <c r="N111" s="205">
        <f t="shared" si="27"/>
        <v>-311.4381078433521</v>
      </c>
      <c r="O111" s="204">
        <v>0</v>
      </c>
      <c r="P111" s="204">
        <v>0</v>
      </c>
      <c r="Q111" s="204">
        <v>0</v>
      </c>
      <c r="R111" s="205">
        <f t="shared" si="28"/>
        <v>-311.4381078433521</v>
      </c>
    </row>
    <row r="112" spans="1:18" x14ac:dyDescent="0.2">
      <c r="A112" s="161">
        <v>9</v>
      </c>
      <c r="B112" s="196">
        <f t="shared" si="35"/>
        <v>44440</v>
      </c>
      <c r="C112" s="220">
        <f t="shared" si="32"/>
        <v>44474</v>
      </c>
      <c r="D112" s="220">
        <f t="shared" si="32"/>
        <v>44494</v>
      </c>
      <c r="E112" s="54" t="s">
        <v>19</v>
      </c>
      <c r="F112" s="161">
        <v>9</v>
      </c>
      <c r="G112" s="199">
        <v>45</v>
      </c>
      <c r="H112" s="200">
        <f t="shared" si="25"/>
        <v>20.675126363367955</v>
      </c>
      <c r="I112" s="200">
        <f t="shared" si="34"/>
        <v>14.638781214716566</v>
      </c>
      <c r="J112" s="201">
        <f t="shared" si="36"/>
        <v>658.74515466224545</v>
      </c>
      <c r="K112" s="208">
        <f t="shared" si="30"/>
        <v>930.38068635155798</v>
      </c>
      <c r="L112" s="207">
        <f t="shared" si="33"/>
        <v>-271.63553168931253</v>
      </c>
      <c r="M112" s="204">
        <f t="shared" si="26"/>
        <v>-8.6587653697044473</v>
      </c>
      <c r="N112" s="205">
        <f t="shared" si="27"/>
        <v>-280.29429705901697</v>
      </c>
      <c r="O112" s="204">
        <v>0</v>
      </c>
      <c r="P112" s="204">
        <v>0</v>
      </c>
      <c r="Q112" s="204">
        <v>0</v>
      </c>
      <c r="R112" s="205">
        <f t="shared" si="28"/>
        <v>-280.29429705901697</v>
      </c>
    </row>
    <row r="113" spans="1:18" x14ac:dyDescent="0.2">
      <c r="A113" s="124">
        <v>10</v>
      </c>
      <c r="B113" s="196">
        <f t="shared" si="35"/>
        <v>44470</v>
      </c>
      <c r="C113" s="220">
        <f t="shared" si="32"/>
        <v>44503</v>
      </c>
      <c r="D113" s="220">
        <f t="shared" si="32"/>
        <v>44524</v>
      </c>
      <c r="E113" s="54" t="s">
        <v>19</v>
      </c>
      <c r="F113" s="161">
        <v>9</v>
      </c>
      <c r="G113" s="199">
        <v>46</v>
      </c>
      <c r="H113" s="200">
        <f t="shared" si="25"/>
        <v>20.675126363367955</v>
      </c>
      <c r="I113" s="200">
        <f t="shared" si="34"/>
        <v>14.638781214716566</v>
      </c>
      <c r="J113" s="201">
        <f t="shared" si="36"/>
        <v>673.38393587696203</v>
      </c>
      <c r="K113" s="208">
        <f t="shared" si="30"/>
        <v>951.05581271492588</v>
      </c>
      <c r="L113" s="207">
        <f t="shared" si="33"/>
        <v>-277.67187683796385</v>
      </c>
      <c r="M113" s="204">
        <f t="shared" si="26"/>
        <v>-8.851182377920102</v>
      </c>
      <c r="N113" s="205">
        <f t="shared" si="27"/>
        <v>-286.52305921588396</v>
      </c>
      <c r="O113" s="204">
        <v>0</v>
      </c>
      <c r="P113" s="204">
        <v>0</v>
      </c>
      <c r="Q113" s="204">
        <v>0</v>
      </c>
      <c r="R113" s="205">
        <f t="shared" si="28"/>
        <v>-286.52305921588396</v>
      </c>
    </row>
    <row r="114" spans="1:18" x14ac:dyDescent="0.2">
      <c r="A114" s="161">
        <v>11</v>
      </c>
      <c r="B114" s="196">
        <f t="shared" si="35"/>
        <v>44501</v>
      </c>
      <c r="C114" s="220">
        <f t="shared" si="32"/>
        <v>44533</v>
      </c>
      <c r="D114" s="220">
        <f t="shared" si="32"/>
        <v>44557</v>
      </c>
      <c r="E114" s="54" t="s">
        <v>19</v>
      </c>
      <c r="F114" s="161">
        <v>9</v>
      </c>
      <c r="G114" s="199">
        <v>48</v>
      </c>
      <c r="H114" s="200">
        <f t="shared" si="25"/>
        <v>20.675126363367955</v>
      </c>
      <c r="I114" s="200">
        <f t="shared" si="34"/>
        <v>14.638781214716566</v>
      </c>
      <c r="J114" s="201">
        <f t="shared" si="36"/>
        <v>702.66149830639517</v>
      </c>
      <c r="K114" s="208">
        <f t="shared" si="30"/>
        <v>992.40606544166189</v>
      </c>
      <c r="L114" s="207">
        <f t="shared" si="33"/>
        <v>-289.74456713526672</v>
      </c>
      <c r="M114" s="204">
        <f t="shared" si="26"/>
        <v>-9.2360163943514113</v>
      </c>
      <c r="N114" s="205">
        <f t="shared" si="27"/>
        <v>-298.98058352961812</v>
      </c>
      <c r="O114" s="204">
        <v>0</v>
      </c>
      <c r="P114" s="204">
        <v>0</v>
      </c>
      <c r="Q114" s="204">
        <v>0</v>
      </c>
      <c r="R114" s="205">
        <f t="shared" si="28"/>
        <v>-298.98058352961812</v>
      </c>
    </row>
    <row r="115" spans="1:18" s="224" customFormat="1" x14ac:dyDescent="0.2">
      <c r="A115" s="161">
        <v>12</v>
      </c>
      <c r="B115" s="222">
        <f t="shared" si="35"/>
        <v>44531</v>
      </c>
      <c r="C115" s="225">
        <f t="shared" si="32"/>
        <v>44566</v>
      </c>
      <c r="D115" s="225">
        <f t="shared" si="32"/>
        <v>44585</v>
      </c>
      <c r="E115" s="223" t="s">
        <v>19</v>
      </c>
      <c r="F115" s="172">
        <v>9</v>
      </c>
      <c r="G115" s="211">
        <v>42</v>
      </c>
      <c r="H115" s="212">
        <f t="shared" si="25"/>
        <v>20.675126363367955</v>
      </c>
      <c r="I115" s="212">
        <f t="shared" si="34"/>
        <v>14.638781214716566</v>
      </c>
      <c r="J115" s="213">
        <f t="shared" si="36"/>
        <v>614.82881101809573</v>
      </c>
      <c r="K115" s="214">
        <f t="shared" si="30"/>
        <v>868.35530726145407</v>
      </c>
      <c r="L115" s="215">
        <f t="shared" si="33"/>
        <v>-253.52649624335834</v>
      </c>
      <c r="M115" s="204">
        <f t="shared" si="26"/>
        <v>-8.0815143450574833</v>
      </c>
      <c r="N115" s="205">
        <f t="shared" si="27"/>
        <v>-261.60801058841582</v>
      </c>
      <c r="O115" s="204">
        <v>0</v>
      </c>
      <c r="P115" s="204">
        <v>0</v>
      </c>
      <c r="Q115" s="204">
        <v>0</v>
      </c>
      <c r="R115" s="205">
        <f t="shared" si="28"/>
        <v>-261.60801058841582</v>
      </c>
    </row>
    <row r="116" spans="1:18" x14ac:dyDescent="0.2">
      <c r="A116" s="124">
        <v>1</v>
      </c>
      <c r="B116" s="196">
        <f t="shared" si="35"/>
        <v>44197</v>
      </c>
      <c r="C116" s="220">
        <f t="shared" si="32"/>
        <v>44230</v>
      </c>
      <c r="D116" s="220">
        <f t="shared" si="32"/>
        <v>44251</v>
      </c>
      <c r="E116" s="198" t="s">
        <v>13</v>
      </c>
      <c r="F116" s="124">
        <v>9</v>
      </c>
      <c r="G116" s="199">
        <v>973</v>
      </c>
      <c r="H116" s="200">
        <f t="shared" si="25"/>
        <v>20.675126363367955</v>
      </c>
      <c r="I116" s="200">
        <f t="shared" si="34"/>
        <v>14.638781214716566</v>
      </c>
      <c r="J116" s="201">
        <f t="shared" si="36"/>
        <v>14243.53412191922</v>
      </c>
      <c r="K116" s="202">
        <f t="shared" si="30"/>
        <v>20116.897951557021</v>
      </c>
      <c r="L116" s="203">
        <f>+J116-K116</f>
        <v>-5873.3638296378012</v>
      </c>
      <c r="M116" s="204">
        <f t="shared" si="26"/>
        <v>-187.22174899383171</v>
      </c>
      <c r="N116" s="205">
        <f t="shared" si="27"/>
        <v>-6060.5855786316333</v>
      </c>
      <c r="O116" s="204">
        <v>0</v>
      </c>
      <c r="P116" s="204">
        <v>0</v>
      </c>
      <c r="Q116" s="204">
        <v>0</v>
      </c>
      <c r="R116" s="205">
        <f t="shared" si="28"/>
        <v>-6060.5855786316333</v>
      </c>
    </row>
    <row r="117" spans="1:18" x14ac:dyDescent="0.2">
      <c r="A117" s="161">
        <v>2</v>
      </c>
      <c r="B117" s="196">
        <f t="shared" si="35"/>
        <v>44228</v>
      </c>
      <c r="C117" s="220">
        <f t="shared" ref="C117:D139" si="37">+C105</f>
        <v>44258</v>
      </c>
      <c r="D117" s="220">
        <f t="shared" si="37"/>
        <v>44279</v>
      </c>
      <c r="E117" s="206" t="s">
        <v>13</v>
      </c>
      <c r="F117" s="161">
        <v>9</v>
      </c>
      <c r="G117" s="199">
        <v>1338</v>
      </c>
      <c r="H117" s="200">
        <f t="shared" si="25"/>
        <v>20.675126363367955</v>
      </c>
      <c r="I117" s="200">
        <f t="shared" si="34"/>
        <v>14.638781214716566</v>
      </c>
      <c r="J117" s="201">
        <f t="shared" si="36"/>
        <v>19586.689265290766</v>
      </c>
      <c r="K117" s="202">
        <f t="shared" si="30"/>
        <v>27663.319074186325</v>
      </c>
      <c r="L117" s="203">
        <f>+J117-K117</f>
        <v>-8076.6298088955591</v>
      </c>
      <c r="M117" s="204">
        <f t="shared" si="26"/>
        <v>-257.45395699254556</v>
      </c>
      <c r="N117" s="205">
        <f t="shared" si="27"/>
        <v>-8334.0837658881046</v>
      </c>
      <c r="O117" s="204">
        <v>0</v>
      </c>
      <c r="P117" s="204">
        <v>0</v>
      </c>
      <c r="Q117" s="204">
        <v>0</v>
      </c>
      <c r="R117" s="205">
        <f t="shared" si="28"/>
        <v>-8334.0837658881046</v>
      </c>
    </row>
    <row r="118" spans="1:18" x14ac:dyDescent="0.2">
      <c r="A118" s="161">
        <v>3</v>
      </c>
      <c r="B118" s="196">
        <f t="shared" si="35"/>
        <v>44256</v>
      </c>
      <c r="C118" s="220">
        <f t="shared" si="37"/>
        <v>44291</v>
      </c>
      <c r="D118" s="220">
        <f t="shared" si="37"/>
        <v>44312</v>
      </c>
      <c r="E118" s="206" t="s">
        <v>13</v>
      </c>
      <c r="F118" s="161">
        <v>9</v>
      </c>
      <c r="G118" s="199">
        <v>790</v>
      </c>
      <c r="H118" s="200">
        <f t="shared" si="25"/>
        <v>20.675126363367955</v>
      </c>
      <c r="I118" s="200">
        <f t="shared" si="34"/>
        <v>14.638781214716566</v>
      </c>
      <c r="J118" s="201">
        <f t="shared" si="36"/>
        <v>11564.637159626087</v>
      </c>
      <c r="K118" s="202">
        <f t="shared" si="30"/>
        <v>16333.349827060685</v>
      </c>
      <c r="L118" s="203">
        <f>+J118-K118</f>
        <v>-4768.7126674345982</v>
      </c>
      <c r="M118" s="204">
        <f t="shared" si="26"/>
        <v>-152.00943649036697</v>
      </c>
      <c r="N118" s="205">
        <f t="shared" si="27"/>
        <v>-4920.7221039249653</v>
      </c>
      <c r="O118" s="204">
        <v>0</v>
      </c>
      <c r="P118" s="204">
        <v>0</v>
      </c>
      <c r="Q118" s="204">
        <v>0</v>
      </c>
      <c r="R118" s="205">
        <f t="shared" si="28"/>
        <v>-4920.7221039249653</v>
      </c>
    </row>
    <row r="119" spans="1:18" x14ac:dyDescent="0.2">
      <c r="A119" s="124">
        <v>4</v>
      </c>
      <c r="B119" s="196">
        <f t="shared" si="35"/>
        <v>44287</v>
      </c>
      <c r="C119" s="220">
        <f t="shared" si="37"/>
        <v>44321</v>
      </c>
      <c r="D119" s="220">
        <f t="shared" si="37"/>
        <v>44340</v>
      </c>
      <c r="E119" s="54" t="s">
        <v>13</v>
      </c>
      <c r="F119" s="161">
        <v>9</v>
      </c>
      <c r="G119" s="199">
        <v>565</v>
      </c>
      <c r="H119" s="200">
        <f t="shared" si="25"/>
        <v>20.675126363367955</v>
      </c>
      <c r="I119" s="200">
        <f t="shared" si="34"/>
        <v>14.638781214716566</v>
      </c>
      <c r="J119" s="201">
        <f t="shared" si="36"/>
        <v>8270.9113863148596</v>
      </c>
      <c r="K119" s="202">
        <f t="shared" si="30"/>
        <v>11681.446395302895</v>
      </c>
      <c r="L119" s="203">
        <f t="shared" ref="L119:L127" si="38">+J119-K119</f>
        <v>-3410.5350089880358</v>
      </c>
      <c r="M119" s="204">
        <f t="shared" si="26"/>
        <v>-108.71560964184474</v>
      </c>
      <c r="N119" s="205">
        <f t="shared" si="27"/>
        <v>-3519.2506186298806</v>
      </c>
      <c r="O119" s="204">
        <v>0</v>
      </c>
      <c r="P119" s="204">
        <v>0</v>
      </c>
      <c r="Q119" s="204">
        <v>0</v>
      </c>
      <c r="R119" s="205">
        <f t="shared" si="28"/>
        <v>-3519.2506186298806</v>
      </c>
    </row>
    <row r="120" spans="1:18" x14ac:dyDescent="0.2">
      <c r="A120" s="161">
        <v>5</v>
      </c>
      <c r="B120" s="196">
        <f t="shared" si="35"/>
        <v>44317</v>
      </c>
      <c r="C120" s="220">
        <f t="shared" si="37"/>
        <v>44350</v>
      </c>
      <c r="D120" s="220">
        <f t="shared" si="37"/>
        <v>44371</v>
      </c>
      <c r="E120" s="54" t="s">
        <v>13</v>
      </c>
      <c r="F120" s="161">
        <v>9</v>
      </c>
      <c r="G120" s="199">
        <v>636</v>
      </c>
      <c r="H120" s="200">
        <f t="shared" si="25"/>
        <v>20.675126363367955</v>
      </c>
      <c r="I120" s="200">
        <f t="shared" si="34"/>
        <v>14.638781214716566</v>
      </c>
      <c r="J120" s="201">
        <f t="shared" si="36"/>
        <v>9310.264852559736</v>
      </c>
      <c r="K120" s="202">
        <f t="shared" si="30"/>
        <v>13149.38036710202</v>
      </c>
      <c r="L120" s="203">
        <f t="shared" si="38"/>
        <v>-3839.1155145422836</v>
      </c>
      <c r="M120" s="204">
        <f t="shared" si="26"/>
        <v>-122.37721722515619</v>
      </c>
      <c r="N120" s="205">
        <f t="shared" si="27"/>
        <v>-3961.4927317674396</v>
      </c>
      <c r="O120" s="204">
        <v>0</v>
      </c>
      <c r="P120" s="204">
        <v>0</v>
      </c>
      <c r="Q120" s="204">
        <v>0</v>
      </c>
      <c r="R120" s="205">
        <f t="shared" si="28"/>
        <v>-3961.4927317674396</v>
      </c>
    </row>
    <row r="121" spans="1:18" x14ac:dyDescent="0.2">
      <c r="A121" s="161">
        <v>6</v>
      </c>
      <c r="B121" s="196">
        <f t="shared" si="35"/>
        <v>44348</v>
      </c>
      <c r="C121" s="220">
        <f t="shared" si="37"/>
        <v>44383</v>
      </c>
      <c r="D121" s="220">
        <f t="shared" si="37"/>
        <v>44401</v>
      </c>
      <c r="E121" s="54" t="s">
        <v>13</v>
      </c>
      <c r="F121" s="161">
        <v>9</v>
      </c>
      <c r="G121" s="199">
        <v>845</v>
      </c>
      <c r="H121" s="200">
        <f t="shared" si="25"/>
        <v>20.675126363367955</v>
      </c>
      <c r="I121" s="200">
        <f t="shared" si="34"/>
        <v>14.638781214716566</v>
      </c>
      <c r="J121" s="201">
        <f t="shared" si="36"/>
        <v>12369.770126435498</v>
      </c>
      <c r="K121" s="202">
        <f t="shared" si="30"/>
        <v>17470.481777045923</v>
      </c>
      <c r="L121" s="207">
        <f t="shared" si="38"/>
        <v>-5100.7116506104248</v>
      </c>
      <c r="M121" s="204">
        <f t="shared" si="26"/>
        <v>-162.59237194222797</v>
      </c>
      <c r="N121" s="205">
        <f t="shared" si="27"/>
        <v>-5263.3040225526529</v>
      </c>
      <c r="O121" s="204">
        <v>0</v>
      </c>
      <c r="P121" s="204">
        <v>0</v>
      </c>
      <c r="Q121" s="204">
        <v>0</v>
      </c>
      <c r="R121" s="205">
        <f t="shared" si="28"/>
        <v>-5263.3040225526529</v>
      </c>
    </row>
    <row r="122" spans="1:18" x14ac:dyDescent="0.2">
      <c r="A122" s="124">
        <v>7</v>
      </c>
      <c r="B122" s="196">
        <f t="shared" si="35"/>
        <v>44378</v>
      </c>
      <c r="C122" s="220">
        <f t="shared" si="37"/>
        <v>44412</v>
      </c>
      <c r="D122" s="220">
        <f t="shared" si="37"/>
        <v>44432</v>
      </c>
      <c r="E122" s="54" t="s">
        <v>13</v>
      </c>
      <c r="F122" s="161">
        <v>9</v>
      </c>
      <c r="G122" s="199">
        <v>897</v>
      </c>
      <c r="H122" s="200">
        <f t="shared" si="25"/>
        <v>20.675126363367955</v>
      </c>
      <c r="I122" s="200">
        <f t="shared" si="34"/>
        <v>14.638781214716566</v>
      </c>
      <c r="J122" s="201">
        <f t="shared" si="36"/>
        <v>13130.986749600759</v>
      </c>
      <c r="K122" s="208">
        <f t="shared" si="30"/>
        <v>18545.588347941055</v>
      </c>
      <c r="L122" s="207">
        <f t="shared" si="38"/>
        <v>-5414.6015983402958</v>
      </c>
      <c r="M122" s="204">
        <f t="shared" si="26"/>
        <v>-172.59805636944199</v>
      </c>
      <c r="N122" s="205">
        <f t="shared" si="27"/>
        <v>-5587.1996547097378</v>
      </c>
      <c r="O122" s="204">
        <v>0</v>
      </c>
      <c r="P122" s="204">
        <v>0</v>
      </c>
      <c r="Q122" s="204">
        <v>0</v>
      </c>
      <c r="R122" s="205">
        <f t="shared" si="28"/>
        <v>-5587.1996547097378</v>
      </c>
    </row>
    <row r="123" spans="1:18" x14ac:dyDescent="0.2">
      <c r="A123" s="161">
        <v>8</v>
      </c>
      <c r="B123" s="196">
        <f t="shared" si="35"/>
        <v>44409</v>
      </c>
      <c r="C123" s="220">
        <f t="shared" si="37"/>
        <v>44442</v>
      </c>
      <c r="D123" s="220">
        <f t="shared" si="37"/>
        <v>44463</v>
      </c>
      <c r="E123" s="54" t="s">
        <v>13</v>
      </c>
      <c r="F123" s="161">
        <v>9</v>
      </c>
      <c r="G123" s="199">
        <v>899</v>
      </c>
      <c r="H123" s="200">
        <f t="shared" si="25"/>
        <v>20.675126363367955</v>
      </c>
      <c r="I123" s="200">
        <f t="shared" si="34"/>
        <v>14.638781214716566</v>
      </c>
      <c r="J123" s="201">
        <f t="shared" si="36"/>
        <v>13160.264312030193</v>
      </c>
      <c r="K123" s="208">
        <f t="shared" si="30"/>
        <v>18586.938600667792</v>
      </c>
      <c r="L123" s="207">
        <f t="shared" si="38"/>
        <v>-5426.6742886375996</v>
      </c>
      <c r="M123" s="204">
        <f t="shared" si="26"/>
        <v>-172.9828903858733</v>
      </c>
      <c r="N123" s="205">
        <f t="shared" si="27"/>
        <v>-5599.657179023473</v>
      </c>
      <c r="O123" s="204">
        <v>0</v>
      </c>
      <c r="P123" s="204">
        <v>0</v>
      </c>
      <c r="Q123" s="204">
        <v>0</v>
      </c>
      <c r="R123" s="205">
        <f t="shared" si="28"/>
        <v>-5599.657179023473</v>
      </c>
    </row>
    <row r="124" spans="1:18" x14ac:dyDescent="0.2">
      <c r="A124" s="161">
        <v>9</v>
      </c>
      <c r="B124" s="196">
        <f t="shared" si="35"/>
        <v>44440</v>
      </c>
      <c r="C124" s="220">
        <f t="shared" si="37"/>
        <v>44474</v>
      </c>
      <c r="D124" s="220">
        <f t="shared" si="37"/>
        <v>44494</v>
      </c>
      <c r="E124" s="54" t="s">
        <v>13</v>
      </c>
      <c r="F124" s="161">
        <v>9</v>
      </c>
      <c r="G124" s="199">
        <v>904</v>
      </c>
      <c r="H124" s="200">
        <f t="shared" si="25"/>
        <v>20.675126363367955</v>
      </c>
      <c r="I124" s="200">
        <f t="shared" si="34"/>
        <v>14.638781214716566</v>
      </c>
      <c r="J124" s="201">
        <f t="shared" si="36"/>
        <v>13233.458218103775</v>
      </c>
      <c r="K124" s="208">
        <f t="shared" si="30"/>
        <v>18690.31423248463</v>
      </c>
      <c r="L124" s="207">
        <f t="shared" si="38"/>
        <v>-5456.8560143808554</v>
      </c>
      <c r="M124" s="204">
        <f t="shared" si="26"/>
        <v>-173.94497542695157</v>
      </c>
      <c r="N124" s="205">
        <f t="shared" si="27"/>
        <v>-5630.8009898078071</v>
      </c>
      <c r="O124" s="204">
        <v>0</v>
      </c>
      <c r="P124" s="204">
        <v>0</v>
      </c>
      <c r="Q124" s="204">
        <v>0</v>
      </c>
      <c r="R124" s="205">
        <f t="shared" si="28"/>
        <v>-5630.8009898078071</v>
      </c>
    </row>
    <row r="125" spans="1:18" x14ac:dyDescent="0.2">
      <c r="A125" s="124">
        <v>10</v>
      </c>
      <c r="B125" s="196">
        <f t="shared" si="35"/>
        <v>44470</v>
      </c>
      <c r="C125" s="220">
        <f t="shared" si="37"/>
        <v>44503</v>
      </c>
      <c r="D125" s="220">
        <f t="shared" si="37"/>
        <v>44524</v>
      </c>
      <c r="E125" s="54" t="s">
        <v>13</v>
      </c>
      <c r="F125" s="161">
        <v>9</v>
      </c>
      <c r="G125" s="199">
        <v>685</v>
      </c>
      <c r="H125" s="200">
        <f t="shared" si="25"/>
        <v>20.675126363367955</v>
      </c>
      <c r="I125" s="200">
        <f t="shared" si="34"/>
        <v>14.638781214716566</v>
      </c>
      <c r="J125" s="201">
        <f t="shared" si="36"/>
        <v>10027.565132080848</v>
      </c>
      <c r="K125" s="208">
        <f t="shared" si="30"/>
        <v>14162.461558907049</v>
      </c>
      <c r="L125" s="207">
        <f t="shared" si="38"/>
        <v>-4134.8964268262007</v>
      </c>
      <c r="M125" s="204">
        <f t="shared" si="26"/>
        <v>-131.80565062772325</v>
      </c>
      <c r="N125" s="205">
        <f t="shared" si="27"/>
        <v>-4266.7020774539242</v>
      </c>
      <c r="O125" s="204">
        <v>0</v>
      </c>
      <c r="P125" s="204">
        <v>0</v>
      </c>
      <c r="Q125" s="204">
        <v>0</v>
      </c>
      <c r="R125" s="205">
        <f t="shared" si="28"/>
        <v>-4266.7020774539242</v>
      </c>
    </row>
    <row r="126" spans="1:18" x14ac:dyDescent="0.2">
      <c r="A126" s="161">
        <v>11</v>
      </c>
      <c r="B126" s="196">
        <f t="shared" si="35"/>
        <v>44501</v>
      </c>
      <c r="C126" s="220">
        <f t="shared" si="37"/>
        <v>44533</v>
      </c>
      <c r="D126" s="220">
        <f t="shared" si="37"/>
        <v>44557</v>
      </c>
      <c r="E126" s="54" t="s">
        <v>13</v>
      </c>
      <c r="F126" s="161">
        <v>9</v>
      </c>
      <c r="G126" s="199">
        <v>718</v>
      </c>
      <c r="H126" s="200">
        <f t="shared" si="25"/>
        <v>20.675126363367955</v>
      </c>
      <c r="I126" s="200">
        <f t="shared" si="34"/>
        <v>14.638781214716566</v>
      </c>
      <c r="J126" s="201">
        <f t="shared" si="36"/>
        <v>10510.644912166494</v>
      </c>
      <c r="K126" s="208">
        <f t="shared" si="30"/>
        <v>14844.740728898192</v>
      </c>
      <c r="L126" s="207">
        <f t="shared" si="38"/>
        <v>-4334.0958167316985</v>
      </c>
      <c r="M126" s="204">
        <f t="shared" si="26"/>
        <v>-138.15541189883987</v>
      </c>
      <c r="N126" s="205">
        <f t="shared" si="27"/>
        <v>-4472.2512286305382</v>
      </c>
      <c r="O126" s="204">
        <v>0</v>
      </c>
      <c r="P126" s="204">
        <v>0</v>
      </c>
      <c r="Q126" s="204">
        <v>0</v>
      </c>
      <c r="R126" s="205">
        <f t="shared" si="28"/>
        <v>-4472.2512286305382</v>
      </c>
    </row>
    <row r="127" spans="1:18" s="224" customFormat="1" x14ac:dyDescent="0.2">
      <c r="A127" s="161">
        <v>12</v>
      </c>
      <c r="B127" s="222">
        <f t="shared" si="35"/>
        <v>44531</v>
      </c>
      <c r="C127" s="225">
        <f t="shared" si="37"/>
        <v>44566</v>
      </c>
      <c r="D127" s="225">
        <f t="shared" si="37"/>
        <v>44585</v>
      </c>
      <c r="E127" s="223" t="s">
        <v>13</v>
      </c>
      <c r="F127" s="172">
        <v>9</v>
      </c>
      <c r="G127" s="211">
        <v>770</v>
      </c>
      <c r="H127" s="212">
        <f t="shared" si="25"/>
        <v>20.675126363367955</v>
      </c>
      <c r="I127" s="212">
        <f t="shared" si="34"/>
        <v>14.638781214716566</v>
      </c>
      <c r="J127" s="213">
        <f t="shared" si="36"/>
        <v>11271.861535331756</v>
      </c>
      <c r="K127" s="214">
        <f t="shared" si="30"/>
        <v>15919.847299793326</v>
      </c>
      <c r="L127" s="215">
        <f t="shared" si="38"/>
        <v>-4647.9857644615695</v>
      </c>
      <c r="M127" s="204">
        <f t="shared" si="26"/>
        <v>-148.16109632605389</v>
      </c>
      <c r="N127" s="205">
        <f t="shared" si="27"/>
        <v>-4796.1468607876232</v>
      </c>
      <c r="O127" s="204">
        <v>0</v>
      </c>
      <c r="P127" s="204">
        <v>0</v>
      </c>
      <c r="Q127" s="204">
        <v>0</v>
      </c>
      <c r="R127" s="205">
        <f t="shared" si="28"/>
        <v>-4796.1468607876232</v>
      </c>
    </row>
    <row r="128" spans="1:18" x14ac:dyDescent="0.2">
      <c r="A128" s="124">
        <v>1</v>
      </c>
      <c r="B128" s="196">
        <f t="shared" si="35"/>
        <v>44197</v>
      </c>
      <c r="C128" s="220">
        <f t="shared" si="37"/>
        <v>44230</v>
      </c>
      <c r="D128" s="220">
        <f t="shared" si="37"/>
        <v>44251</v>
      </c>
      <c r="E128" s="198" t="s">
        <v>15</v>
      </c>
      <c r="F128" s="124">
        <v>9</v>
      </c>
      <c r="G128" s="199">
        <v>7</v>
      </c>
      <c r="H128" s="200">
        <f t="shared" si="25"/>
        <v>20.675126363367955</v>
      </c>
      <c r="I128" s="200">
        <f t="shared" ref="I128:I147" si="39">$J$3</f>
        <v>14.638781214716566</v>
      </c>
      <c r="J128" s="201">
        <f t="shared" si="36"/>
        <v>102.47146850301596</v>
      </c>
      <c r="K128" s="202">
        <f t="shared" si="30"/>
        <v>144.72588454357569</v>
      </c>
      <c r="L128" s="203">
        <f>+J128-K128</f>
        <v>-42.254416040559732</v>
      </c>
      <c r="M128" s="204">
        <f t="shared" si="26"/>
        <v>-1.3469190575095809</v>
      </c>
      <c r="N128" s="205">
        <f t="shared" si="27"/>
        <v>-43.601335098069313</v>
      </c>
      <c r="O128" s="204">
        <v>0</v>
      </c>
      <c r="P128" s="204">
        <v>0</v>
      </c>
      <c r="Q128" s="204">
        <v>0</v>
      </c>
      <c r="R128" s="205">
        <f t="shared" si="28"/>
        <v>-43.601335098069313</v>
      </c>
    </row>
    <row r="129" spans="1:18" x14ac:dyDescent="0.2">
      <c r="A129" s="161">
        <v>2</v>
      </c>
      <c r="B129" s="196">
        <f t="shared" si="35"/>
        <v>44228</v>
      </c>
      <c r="C129" s="220">
        <f t="shared" si="37"/>
        <v>44258</v>
      </c>
      <c r="D129" s="220">
        <f t="shared" si="37"/>
        <v>44279</v>
      </c>
      <c r="E129" s="206" t="s">
        <v>15</v>
      </c>
      <c r="F129" s="161">
        <v>9</v>
      </c>
      <c r="G129" s="199">
        <v>8</v>
      </c>
      <c r="H129" s="200">
        <f t="shared" si="25"/>
        <v>20.675126363367955</v>
      </c>
      <c r="I129" s="200">
        <f t="shared" si="39"/>
        <v>14.638781214716566</v>
      </c>
      <c r="J129" s="201">
        <f t="shared" si="36"/>
        <v>117.11024971773253</v>
      </c>
      <c r="K129" s="202">
        <f t="shared" si="30"/>
        <v>165.40101090694364</v>
      </c>
      <c r="L129" s="203">
        <f>+J129-K129</f>
        <v>-48.290761189211111</v>
      </c>
      <c r="M129" s="204">
        <f t="shared" si="26"/>
        <v>-1.5393360657252351</v>
      </c>
      <c r="N129" s="205">
        <f t="shared" si="27"/>
        <v>-49.830097254936348</v>
      </c>
      <c r="O129" s="204">
        <v>0</v>
      </c>
      <c r="P129" s="204">
        <v>0</v>
      </c>
      <c r="Q129" s="204">
        <v>0</v>
      </c>
      <c r="R129" s="205">
        <f t="shared" si="28"/>
        <v>-49.830097254936348</v>
      </c>
    </row>
    <row r="130" spans="1:18" x14ac:dyDescent="0.2">
      <c r="A130" s="161">
        <v>3</v>
      </c>
      <c r="B130" s="196">
        <f t="shared" si="35"/>
        <v>44256</v>
      </c>
      <c r="C130" s="220">
        <f t="shared" si="37"/>
        <v>44291</v>
      </c>
      <c r="D130" s="220">
        <f t="shared" si="37"/>
        <v>44312</v>
      </c>
      <c r="E130" s="206" t="s">
        <v>15</v>
      </c>
      <c r="F130" s="161">
        <v>9</v>
      </c>
      <c r="G130" s="199">
        <v>5</v>
      </c>
      <c r="H130" s="200">
        <f t="shared" si="25"/>
        <v>20.675126363367955</v>
      </c>
      <c r="I130" s="200">
        <f t="shared" si="39"/>
        <v>14.638781214716566</v>
      </c>
      <c r="J130" s="201">
        <f t="shared" si="36"/>
        <v>73.193906073582838</v>
      </c>
      <c r="K130" s="202">
        <f t="shared" si="30"/>
        <v>103.37563181683977</v>
      </c>
      <c r="L130" s="203">
        <f>+J130-K130</f>
        <v>-30.181725743256933</v>
      </c>
      <c r="M130" s="204">
        <f t="shared" si="26"/>
        <v>-0.96208504107827197</v>
      </c>
      <c r="N130" s="205">
        <f t="shared" si="27"/>
        <v>-31.143810784335205</v>
      </c>
      <c r="O130" s="204">
        <v>0</v>
      </c>
      <c r="P130" s="204">
        <v>0</v>
      </c>
      <c r="Q130" s="204">
        <v>0</v>
      </c>
      <c r="R130" s="205">
        <f t="shared" si="28"/>
        <v>-31.143810784335205</v>
      </c>
    </row>
    <row r="131" spans="1:18" x14ac:dyDescent="0.2">
      <c r="A131" s="124">
        <v>4</v>
      </c>
      <c r="B131" s="196">
        <f t="shared" si="35"/>
        <v>44287</v>
      </c>
      <c r="C131" s="220">
        <f t="shared" si="37"/>
        <v>44321</v>
      </c>
      <c r="D131" s="220">
        <f t="shared" si="37"/>
        <v>44340</v>
      </c>
      <c r="E131" s="206" t="s">
        <v>15</v>
      </c>
      <c r="F131" s="161">
        <v>9</v>
      </c>
      <c r="G131" s="199">
        <v>6</v>
      </c>
      <c r="H131" s="200">
        <f t="shared" si="25"/>
        <v>20.675126363367955</v>
      </c>
      <c r="I131" s="200">
        <f t="shared" si="39"/>
        <v>14.638781214716566</v>
      </c>
      <c r="J131" s="201">
        <f t="shared" si="36"/>
        <v>87.832687288299397</v>
      </c>
      <c r="K131" s="202">
        <f t="shared" si="30"/>
        <v>124.05075818020774</v>
      </c>
      <c r="L131" s="203">
        <f t="shared" ref="L131:L141" si="40">+J131-K131</f>
        <v>-36.21807089190834</v>
      </c>
      <c r="M131" s="204">
        <f t="shared" si="26"/>
        <v>-1.1545020492939264</v>
      </c>
      <c r="N131" s="205">
        <f t="shared" si="27"/>
        <v>-37.372572941202264</v>
      </c>
      <c r="O131" s="204">
        <v>0</v>
      </c>
      <c r="P131" s="204">
        <v>0</v>
      </c>
      <c r="Q131" s="204">
        <v>0</v>
      </c>
      <c r="R131" s="205">
        <f t="shared" si="28"/>
        <v>-37.372572941202264</v>
      </c>
    </row>
    <row r="132" spans="1:18" x14ac:dyDescent="0.2">
      <c r="A132" s="161">
        <v>5</v>
      </c>
      <c r="B132" s="196">
        <f t="shared" si="35"/>
        <v>44317</v>
      </c>
      <c r="C132" s="220">
        <f t="shared" si="37"/>
        <v>44350</v>
      </c>
      <c r="D132" s="220">
        <f t="shared" si="37"/>
        <v>44371</v>
      </c>
      <c r="E132" s="54" t="s">
        <v>15</v>
      </c>
      <c r="F132" s="161">
        <v>9</v>
      </c>
      <c r="G132" s="199">
        <v>4</v>
      </c>
      <c r="H132" s="200">
        <f t="shared" si="25"/>
        <v>20.675126363367955</v>
      </c>
      <c r="I132" s="200">
        <f t="shared" si="39"/>
        <v>14.638781214716566</v>
      </c>
      <c r="J132" s="201">
        <f t="shared" si="36"/>
        <v>58.555124858866265</v>
      </c>
      <c r="K132" s="202">
        <f t="shared" si="30"/>
        <v>82.70050545347182</v>
      </c>
      <c r="L132" s="203">
        <f t="shared" si="40"/>
        <v>-24.145380594605555</v>
      </c>
      <c r="M132" s="204">
        <f t="shared" si="26"/>
        <v>-0.76966803286261753</v>
      </c>
      <c r="N132" s="205">
        <f t="shared" si="27"/>
        <v>-24.915048627468174</v>
      </c>
      <c r="O132" s="204">
        <v>0</v>
      </c>
      <c r="P132" s="204">
        <v>0</v>
      </c>
      <c r="Q132" s="204">
        <v>0</v>
      </c>
      <c r="R132" s="205">
        <f t="shared" si="28"/>
        <v>-24.915048627468174</v>
      </c>
    </row>
    <row r="133" spans="1:18" x14ac:dyDescent="0.2">
      <c r="A133" s="161">
        <v>6</v>
      </c>
      <c r="B133" s="196">
        <f t="shared" si="35"/>
        <v>44348</v>
      </c>
      <c r="C133" s="220">
        <f t="shared" si="37"/>
        <v>44383</v>
      </c>
      <c r="D133" s="220">
        <f t="shared" si="37"/>
        <v>44401</v>
      </c>
      <c r="E133" s="54" t="s">
        <v>15</v>
      </c>
      <c r="F133" s="161">
        <v>9</v>
      </c>
      <c r="G133" s="199">
        <v>13</v>
      </c>
      <c r="H133" s="200">
        <f t="shared" si="25"/>
        <v>20.675126363367955</v>
      </c>
      <c r="I133" s="200">
        <f t="shared" si="39"/>
        <v>14.638781214716566</v>
      </c>
      <c r="J133" s="201">
        <f t="shared" si="36"/>
        <v>190.30415579131537</v>
      </c>
      <c r="K133" s="202">
        <f t="shared" si="30"/>
        <v>268.77664272378343</v>
      </c>
      <c r="L133" s="207">
        <f t="shared" si="40"/>
        <v>-78.472486932468058</v>
      </c>
      <c r="M133" s="204">
        <f t="shared" si="26"/>
        <v>-2.5014211068035075</v>
      </c>
      <c r="N133" s="205">
        <f t="shared" si="27"/>
        <v>-80.973908039271564</v>
      </c>
      <c r="O133" s="204">
        <v>0</v>
      </c>
      <c r="P133" s="204">
        <v>0</v>
      </c>
      <c r="Q133" s="204">
        <v>0</v>
      </c>
      <c r="R133" s="205">
        <f t="shared" si="28"/>
        <v>-80.973908039271564</v>
      </c>
    </row>
    <row r="134" spans="1:18" x14ac:dyDescent="0.2">
      <c r="A134" s="124">
        <v>7</v>
      </c>
      <c r="B134" s="196">
        <f t="shared" si="35"/>
        <v>44378</v>
      </c>
      <c r="C134" s="220">
        <f t="shared" si="37"/>
        <v>44412</v>
      </c>
      <c r="D134" s="220">
        <f t="shared" si="37"/>
        <v>44432</v>
      </c>
      <c r="E134" s="54" t="s">
        <v>15</v>
      </c>
      <c r="F134" s="161">
        <v>9</v>
      </c>
      <c r="G134" s="199">
        <v>17</v>
      </c>
      <c r="H134" s="200">
        <f t="shared" si="25"/>
        <v>20.675126363367955</v>
      </c>
      <c r="I134" s="200">
        <f t="shared" si="39"/>
        <v>14.638781214716566</v>
      </c>
      <c r="J134" s="201">
        <f t="shared" si="36"/>
        <v>248.85928065018163</v>
      </c>
      <c r="K134" s="208">
        <f t="shared" ref="K134:K197" si="41">+$G134*H134</f>
        <v>351.47714817725523</v>
      </c>
      <c r="L134" s="207">
        <f t="shared" si="40"/>
        <v>-102.6178675270736</v>
      </c>
      <c r="M134" s="204">
        <f t="shared" si="26"/>
        <v>-3.2710891396661248</v>
      </c>
      <c r="N134" s="205">
        <f t="shared" si="27"/>
        <v>-105.88895666673973</v>
      </c>
      <c r="O134" s="204">
        <v>0</v>
      </c>
      <c r="P134" s="204">
        <v>0</v>
      </c>
      <c r="Q134" s="204">
        <v>0</v>
      </c>
      <c r="R134" s="205">
        <f t="shared" si="28"/>
        <v>-105.88895666673973</v>
      </c>
    </row>
    <row r="135" spans="1:18" x14ac:dyDescent="0.2">
      <c r="A135" s="161">
        <v>8</v>
      </c>
      <c r="B135" s="196">
        <f t="shared" si="35"/>
        <v>44409</v>
      </c>
      <c r="C135" s="220">
        <f t="shared" si="37"/>
        <v>44442</v>
      </c>
      <c r="D135" s="220">
        <f t="shared" si="37"/>
        <v>44463</v>
      </c>
      <c r="E135" s="54" t="s">
        <v>15</v>
      </c>
      <c r="F135" s="161">
        <v>9</v>
      </c>
      <c r="G135" s="199">
        <v>17</v>
      </c>
      <c r="H135" s="200">
        <f t="shared" si="25"/>
        <v>20.675126363367955</v>
      </c>
      <c r="I135" s="200">
        <f t="shared" si="39"/>
        <v>14.638781214716566</v>
      </c>
      <c r="J135" s="201">
        <f t="shared" si="36"/>
        <v>248.85928065018163</v>
      </c>
      <c r="K135" s="208">
        <f t="shared" si="41"/>
        <v>351.47714817725523</v>
      </c>
      <c r="L135" s="207">
        <f t="shared" si="40"/>
        <v>-102.6178675270736</v>
      </c>
      <c r="M135" s="204">
        <f t="shared" si="26"/>
        <v>-3.2710891396661248</v>
      </c>
      <c r="N135" s="205">
        <f t="shared" si="27"/>
        <v>-105.88895666673973</v>
      </c>
      <c r="O135" s="204">
        <v>0</v>
      </c>
      <c r="P135" s="204">
        <v>0</v>
      </c>
      <c r="Q135" s="204">
        <v>0</v>
      </c>
      <c r="R135" s="205">
        <f t="shared" si="28"/>
        <v>-105.88895666673973</v>
      </c>
    </row>
    <row r="136" spans="1:18" x14ac:dyDescent="0.2">
      <c r="A136" s="161">
        <v>9</v>
      </c>
      <c r="B136" s="196">
        <f t="shared" si="35"/>
        <v>44440</v>
      </c>
      <c r="C136" s="220">
        <f t="shared" si="37"/>
        <v>44474</v>
      </c>
      <c r="D136" s="220">
        <f t="shared" si="37"/>
        <v>44494</v>
      </c>
      <c r="E136" s="54" t="s">
        <v>15</v>
      </c>
      <c r="F136" s="161">
        <v>9</v>
      </c>
      <c r="G136" s="199">
        <v>16</v>
      </c>
      <c r="H136" s="200">
        <f t="shared" si="25"/>
        <v>20.675126363367955</v>
      </c>
      <c r="I136" s="200">
        <f t="shared" si="39"/>
        <v>14.638781214716566</v>
      </c>
      <c r="J136" s="201">
        <f t="shared" si="36"/>
        <v>234.22049943546506</v>
      </c>
      <c r="K136" s="208">
        <f t="shared" si="41"/>
        <v>330.80202181388728</v>
      </c>
      <c r="L136" s="207">
        <f t="shared" si="40"/>
        <v>-96.581522378422221</v>
      </c>
      <c r="M136" s="204">
        <f t="shared" si="26"/>
        <v>-3.0786721314504701</v>
      </c>
      <c r="N136" s="205">
        <f t="shared" si="27"/>
        <v>-99.660194509872696</v>
      </c>
      <c r="O136" s="204">
        <v>0</v>
      </c>
      <c r="P136" s="204">
        <v>0</v>
      </c>
      <c r="Q136" s="204">
        <v>0</v>
      </c>
      <c r="R136" s="205">
        <f t="shared" si="28"/>
        <v>-99.660194509872696</v>
      </c>
    </row>
    <row r="137" spans="1:18" x14ac:dyDescent="0.2">
      <c r="A137" s="124">
        <v>10</v>
      </c>
      <c r="B137" s="196">
        <f t="shared" si="35"/>
        <v>44470</v>
      </c>
      <c r="C137" s="220">
        <f t="shared" si="37"/>
        <v>44503</v>
      </c>
      <c r="D137" s="220">
        <f t="shared" si="37"/>
        <v>44524</v>
      </c>
      <c r="E137" s="54" t="s">
        <v>15</v>
      </c>
      <c r="F137" s="161">
        <v>9</v>
      </c>
      <c r="G137" s="199">
        <v>5</v>
      </c>
      <c r="H137" s="200">
        <f t="shared" si="25"/>
        <v>20.675126363367955</v>
      </c>
      <c r="I137" s="200">
        <f t="shared" si="39"/>
        <v>14.638781214716566</v>
      </c>
      <c r="J137" s="201">
        <f t="shared" si="36"/>
        <v>73.193906073582838</v>
      </c>
      <c r="K137" s="208">
        <f t="shared" si="41"/>
        <v>103.37563181683977</v>
      </c>
      <c r="L137" s="207">
        <f t="shared" si="40"/>
        <v>-30.181725743256933</v>
      </c>
      <c r="M137" s="204">
        <f t="shared" si="26"/>
        <v>-0.96208504107827197</v>
      </c>
      <c r="N137" s="205">
        <f t="shared" si="27"/>
        <v>-31.143810784335205</v>
      </c>
      <c r="O137" s="204">
        <v>0</v>
      </c>
      <c r="P137" s="204">
        <v>0</v>
      </c>
      <c r="Q137" s="204">
        <v>0</v>
      </c>
      <c r="R137" s="205">
        <f t="shared" si="28"/>
        <v>-31.143810784335205</v>
      </c>
    </row>
    <row r="138" spans="1:18" x14ac:dyDescent="0.2">
      <c r="A138" s="161">
        <v>11</v>
      </c>
      <c r="B138" s="196">
        <f t="shared" si="35"/>
        <v>44501</v>
      </c>
      <c r="C138" s="220">
        <f t="shared" si="37"/>
        <v>44533</v>
      </c>
      <c r="D138" s="220">
        <f t="shared" si="37"/>
        <v>44557</v>
      </c>
      <c r="E138" s="54" t="s">
        <v>15</v>
      </c>
      <c r="F138" s="161">
        <v>9</v>
      </c>
      <c r="G138" s="199">
        <v>5</v>
      </c>
      <c r="H138" s="200">
        <f t="shared" si="25"/>
        <v>20.675126363367955</v>
      </c>
      <c r="I138" s="200">
        <f t="shared" si="39"/>
        <v>14.638781214716566</v>
      </c>
      <c r="J138" s="201">
        <f t="shared" si="36"/>
        <v>73.193906073582838</v>
      </c>
      <c r="K138" s="208">
        <f t="shared" si="41"/>
        <v>103.37563181683977</v>
      </c>
      <c r="L138" s="207">
        <f t="shared" si="40"/>
        <v>-30.181725743256933</v>
      </c>
      <c r="M138" s="204">
        <f t="shared" si="26"/>
        <v>-0.96208504107827197</v>
      </c>
      <c r="N138" s="205">
        <f t="shared" si="27"/>
        <v>-31.143810784335205</v>
      </c>
      <c r="O138" s="204">
        <v>0</v>
      </c>
      <c r="P138" s="204">
        <v>0</v>
      </c>
      <c r="Q138" s="204">
        <v>0</v>
      </c>
      <c r="R138" s="205">
        <f t="shared" si="28"/>
        <v>-31.143810784335205</v>
      </c>
    </row>
    <row r="139" spans="1:18" s="224" customFormat="1" x14ac:dyDescent="0.2">
      <c r="A139" s="161">
        <v>12</v>
      </c>
      <c r="B139" s="222">
        <f t="shared" si="35"/>
        <v>44531</v>
      </c>
      <c r="C139" s="220">
        <f t="shared" si="37"/>
        <v>44566</v>
      </c>
      <c r="D139" s="220">
        <f t="shared" si="37"/>
        <v>44585</v>
      </c>
      <c r="E139" s="223" t="s">
        <v>15</v>
      </c>
      <c r="F139" s="172">
        <v>9</v>
      </c>
      <c r="G139" s="211">
        <v>6</v>
      </c>
      <c r="H139" s="212">
        <f t="shared" si="25"/>
        <v>20.675126363367955</v>
      </c>
      <c r="I139" s="212">
        <f t="shared" si="39"/>
        <v>14.638781214716566</v>
      </c>
      <c r="J139" s="213">
        <f t="shared" si="36"/>
        <v>87.832687288299397</v>
      </c>
      <c r="K139" s="214">
        <f t="shared" si="41"/>
        <v>124.05075818020774</v>
      </c>
      <c r="L139" s="215">
        <f t="shared" si="40"/>
        <v>-36.21807089190834</v>
      </c>
      <c r="M139" s="204">
        <f t="shared" si="26"/>
        <v>-1.1545020492939264</v>
      </c>
      <c r="N139" s="205">
        <f t="shared" si="27"/>
        <v>-37.372572941202264</v>
      </c>
      <c r="O139" s="204">
        <v>0</v>
      </c>
      <c r="P139" s="204">
        <v>0</v>
      </c>
      <c r="Q139" s="204">
        <v>0</v>
      </c>
      <c r="R139" s="205">
        <f t="shared" si="28"/>
        <v>-37.372572941202264</v>
      </c>
    </row>
    <row r="140" spans="1:18" x14ac:dyDescent="0.2">
      <c r="A140" s="124">
        <v>1</v>
      </c>
      <c r="B140" s="196">
        <f t="shared" si="35"/>
        <v>44197</v>
      </c>
      <c r="C140" s="217">
        <f t="shared" ref="C140:D151" si="42">+C128</f>
        <v>44230</v>
      </c>
      <c r="D140" s="217">
        <f t="shared" si="42"/>
        <v>44251</v>
      </c>
      <c r="E140" s="227" t="s">
        <v>16</v>
      </c>
      <c r="F140" s="161">
        <v>9</v>
      </c>
      <c r="G140" s="199">
        <v>3</v>
      </c>
      <c r="H140" s="200">
        <f t="shared" si="25"/>
        <v>20.675126363367955</v>
      </c>
      <c r="I140" s="200">
        <f t="shared" si="39"/>
        <v>14.638781214716566</v>
      </c>
      <c r="J140" s="201">
        <f t="shared" si="36"/>
        <v>43.916343644149698</v>
      </c>
      <c r="K140" s="202">
        <f t="shared" si="41"/>
        <v>62.025379090103868</v>
      </c>
      <c r="L140" s="203">
        <f t="shared" si="40"/>
        <v>-18.10903544595417</v>
      </c>
      <c r="M140" s="204">
        <f t="shared" si="26"/>
        <v>-0.57725102464696321</v>
      </c>
      <c r="N140" s="205">
        <f t="shared" si="27"/>
        <v>-18.686286470601132</v>
      </c>
      <c r="O140" s="204">
        <v>0</v>
      </c>
      <c r="P140" s="204">
        <v>0</v>
      </c>
      <c r="Q140" s="204">
        <v>0</v>
      </c>
      <c r="R140" s="205">
        <f t="shared" si="28"/>
        <v>-18.686286470601132</v>
      </c>
    </row>
    <row r="141" spans="1:18" x14ac:dyDescent="0.2">
      <c r="A141" s="161">
        <v>2</v>
      </c>
      <c r="B141" s="196">
        <f t="shared" si="35"/>
        <v>44228</v>
      </c>
      <c r="C141" s="220">
        <f t="shared" si="42"/>
        <v>44258</v>
      </c>
      <c r="D141" s="220">
        <f t="shared" si="42"/>
        <v>44279</v>
      </c>
      <c r="E141" s="54" t="s">
        <v>16</v>
      </c>
      <c r="F141" s="161">
        <v>9</v>
      </c>
      <c r="G141" s="199">
        <v>5</v>
      </c>
      <c r="H141" s="200">
        <f t="shared" si="25"/>
        <v>20.675126363367955</v>
      </c>
      <c r="I141" s="200">
        <f t="shared" si="39"/>
        <v>14.638781214716566</v>
      </c>
      <c r="J141" s="201">
        <f t="shared" si="36"/>
        <v>73.193906073582838</v>
      </c>
      <c r="K141" s="202">
        <f t="shared" si="41"/>
        <v>103.37563181683977</v>
      </c>
      <c r="L141" s="203">
        <f t="shared" si="40"/>
        <v>-30.181725743256933</v>
      </c>
      <c r="M141" s="204">
        <f t="shared" si="26"/>
        <v>-0.96208504107827197</v>
      </c>
      <c r="N141" s="205">
        <f t="shared" si="27"/>
        <v>-31.143810784335205</v>
      </c>
      <c r="O141" s="204">
        <v>0</v>
      </c>
      <c r="P141" s="204">
        <v>0</v>
      </c>
      <c r="Q141" s="204">
        <v>0</v>
      </c>
      <c r="R141" s="205">
        <f t="shared" si="28"/>
        <v>-31.143810784335205</v>
      </c>
    </row>
    <row r="142" spans="1:18" x14ac:dyDescent="0.2">
      <c r="A142" s="161">
        <v>3</v>
      </c>
      <c r="B142" s="196">
        <f t="shared" si="35"/>
        <v>44256</v>
      </c>
      <c r="C142" s="220">
        <f t="shared" si="42"/>
        <v>44291</v>
      </c>
      <c r="D142" s="220">
        <f t="shared" si="42"/>
        <v>44312</v>
      </c>
      <c r="E142" s="54" t="s">
        <v>16</v>
      </c>
      <c r="F142" s="161">
        <v>9</v>
      </c>
      <c r="G142" s="199">
        <v>4</v>
      </c>
      <c r="H142" s="200">
        <f t="shared" si="25"/>
        <v>20.675126363367955</v>
      </c>
      <c r="I142" s="200">
        <f t="shared" si="39"/>
        <v>14.638781214716566</v>
      </c>
      <c r="J142" s="201">
        <f t="shared" si="36"/>
        <v>58.555124858866265</v>
      </c>
      <c r="K142" s="202">
        <f t="shared" si="41"/>
        <v>82.70050545347182</v>
      </c>
      <c r="L142" s="203">
        <f>+J142-K142</f>
        <v>-24.145380594605555</v>
      </c>
      <c r="M142" s="204">
        <f t="shared" si="26"/>
        <v>-0.76966803286261753</v>
      </c>
      <c r="N142" s="205">
        <f t="shared" si="27"/>
        <v>-24.915048627468174</v>
      </c>
      <c r="O142" s="204">
        <v>0</v>
      </c>
      <c r="P142" s="204">
        <v>0</v>
      </c>
      <c r="Q142" s="204">
        <v>0</v>
      </c>
      <c r="R142" s="205">
        <f t="shared" si="28"/>
        <v>-24.915048627468174</v>
      </c>
    </row>
    <row r="143" spans="1:18" x14ac:dyDescent="0.2">
      <c r="A143" s="124">
        <v>4</v>
      </c>
      <c r="B143" s="196">
        <f t="shared" si="35"/>
        <v>44287</v>
      </c>
      <c r="C143" s="220">
        <f t="shared" si="42"/>
        <v>44321</v>
      </c>
      <c r="D143" s="220">
        <f t="shared" si="42"/>
        <v>44340</v>
      </c>
      <c r="E143" s="54" t="s">
        <v>16</v>
      </c>
      <c r="F143" s="161">
        <v>9</v>
      </c>
      <c r="G143" s="199">
        <v>4</v>
      </c>
      <c r="H143" s="200">
        <f t="shared" si="25"/>
        <v>20.675126363367955</v>
      </c>
      <c r="I143" s="200">
        <f t="shared" si="39"/>
        <v>14.638781214716566</v>
      </c>
      <c r="J143" s="201">
        <f t="shared" si="36"/>
        <v>58.555124858866265</v>
      </c>
      <c r="K143" s="202">
        <f t="shared" si="41"/>
        <v>82.70050545347182</v>
      </c>
      <c r="L143" s="203">
        <f t="shared" ref="L143:L153" si="43">+J143-K143</f>
        <v>-24.145380594605555</v>
      </c>
      <c r="M143" s="204">
        <f t="shared" si="26"/>
        <v>-0.76966803286261753</v>
      </c>
      <c r="N143" s="205">
        <f t="shared" si="27"/>
        <v>-24.915048627468174</v>
      </c>
      <c r="O143" s="204">
        <v>0</v>
      </c>
      <c r="P143" s="204">
        <v>0</v>
      </c>
      <c r="Q143" s="204">
        <v>0</v>
      </c>
      <c r="R143" s="205">
        <f t="shared" si="28"/>
        <v>-24.915048627468174</v>
      </c>
    </row>
    <row r="144" spans="1:18" x14ac:dyDescent="0.2">
      <c r="A144" s="161">
        <v>5</v>
      </c>
      <c r="B144" s="196">
        <f t="shared" si="35"/>
        <v>44317</v>
      </c>
      <c r="C144" s="220">
        <f t="shared" si="42"/>
        <v>44350</v>
      </c>
      <c r="D144" s="220">
        <f t="shared" si="42"/>
        <v>44371</v>
      </c>
      <c r="E144" s="54" t="s">
        <v>16</v>
      </c>
      <c r="F144" s="161">
        <v>9</v>
      </c>
      <c r="G144" s="199">
        <v>3</v>
      </c>
      <c r="H144" s="200">
        <f t="shared" si="25"/>
        <v>20.675126363367955</v>
      </c>
      <c r="I144" s="200">
        <f t="shared" si="39"/>
        <v>14.638781214716566</v>
      </c>
      <c r="J144" s="201">
        <f t="shared" si="36"/>
        <v>43.916343644149698</v>
      </c>
      <c r="K144" s="202">
        <f t="shared" si="41"/>
        <v>62.025379090103868</v>
      </c>
      <c r="L144" s="203">
        <f t="shared" si="43"/>
        <v>-18.10903544595417</v>
      </c>
      <c r="M144" s="204">
        <f t="shared" si="26"/>
        <v>-0.57725102464696321</v>
      </c>
      <c r="N144" s="205">
        <f t="shared" si="27"/>
        <v>-18.686286470601132</v>
      </c>
      <c r="O144" s="204">
        <v>0</v>
      </c>
      <c r="P144" s="204">
        <v>0</v>
      </c>
      <c r="Q144" s="204">
        <v>0</v>
      </c>
      <c r="R144" s="205">
        <f t="shared" si="28"/>
        <v>-18.686286470601132</v>
      </c>
    </row>
    <row r="145" spans="1:19" x14ac:dyDescent="0.2">
      <c r="A145" s="161">
        <v>6</v>
      </c>
      <c r="B145" s="196">
        <f t="shared" si="35"/>
        <v>44348</v>
      </c>
      <c r="C145" s="220">
        <f t="shared" si="42"/>
        <v>44383</v>
      </c>
      <c r="D145" s="220">
        <f t="shared" si="42"/>
        <v>44401</v>
      </c>
      <c r="E145" s="54" t="s">
        <v>16</v>
      </c>
      <c r="F145" s="161">
        <v>9</v>
      </c>
      <c r="G145" s="199">
        <v>5</v>
      </c>
      <c r="H145" s="200">
        <f t="shared" si="25"/>
        <v>20.675126363367955</v>
      </c>
      <c r="I145" s="200">
        <f t="shared" si="39"/>
        <v>14.638781214716566</v>
      </c>
      <c r="J145" s="201">
        <f t="shared" si="36"/>
        <v>73.193906073582838</v>
      </c>
      <c r="K145" s="202">
        <f t="shared" si="41"/>
        <v>103.37563181683977</v>
      </c>
      <c r="L145" s="207">
        <f t="shared" si="43"/>
        <v>-30.181725743256933</v>
      </c>
      <c r="M145" s="204">
        <f t="shared" si="26"/>
        <v>-0.96208504107827197</v>
      </c>
      <c r="N145" s="205">
        <f t="shared" si="27"/>
        <v>-31.143810784335205</v>
      </c>
      <c r="O145" s="204">
        <v>0</v>
      </c>
      <c r="P145" s="204">
        <v>0</v>
      </c>
      <c r="Q145" s="204">
        <v>0</v>
      </c>
      <c r="R145" s="205">
        <f t="shared" si="28"/>
        <v>-31.143810784335205</v>
      </c>
    </row>
    <row r="146" spans="1:19" x14ac:dyDescent="0.2">
      <c r="A146" s="124">
        <v>7</v>
      </c>
      <c r="B146" s="196">
        <f t="shared" si="35"/>
        <v>44378</v>
      </c>
      <c r="C146" s="220">
        <f t="shared" si="42"/>
        <v>44412</v>
      </c>
      <c r="D146" s="220">
        <f t="shared" si="42"/>
        <v>44432</v>
      </c>
      <c r="E146" s="54" t="s">
        <v>16</v>
      </c>
      <c r="F146" s="161">
        <v>9</v>
      </c>
      <c r="G146" s="199">
        <v>5</v>
      </c>
      <c r="H146" s="200">
        <f t="shared" si="25"/>
        <v>20.675126363367955</v>
      </c>
      <c r="I146" s="200">
        <f t="shared" si="39"/>
        <v>14.638781214716566</v>
      </c>
      <c r="J146" s="201">
        <f t="shared" si="36"/>
        <v>73.193906073582838</v>
      </c>
      <c r="K146" s="208">
        <f t="shared" si="41"/>
        <v>103.37563181683977</v>
      </c>
      <c r="L146" s="207">
        <f t="shared" si="43"/>
        <v>-30.181725743256933</v>
      </c>
      <c r="M146" s="204">
        <f t="shared" si="26"/>
        <v>-0.96208504107827197</v>
      </c>
      <c r="N146" s="205">
        <f t="shared" si="27"/>
        <v>-31.143810784335205</v>
      </c>
      <c r="O146" s="204">
        <v>0</v>
      </c>
      <c r="P146" s="204">
        <v>0</v>
      </c>
      <c r="Q146" s="204">
        <v>0</v>
      </c>
      <c r="R146" s="205">
        <f t="shared" si="28"/>
        <v>-31.143810784335205</v>
      </c>
    </row>
    <row r="147" spans="1:19" x14ac:dyDescent="0.2">
      <c r="A147" s="161">
        <v>8</v>
      </c>
      <c r="B147" s="196">
        <f t="shared" si="35"/>
        <v>44409</v>
      </c>
      <c r="C147" s="220">
        <f t="shared" si="42"/>
        <v>44442</v>
      </c>
      <c r="D147" s="220">
        <f t="shared" si="42"/>
        <v>44463</v>
      </c>
      <c r="E147" s="54" t="s">
        <v>16</v>
      </c>
      <c r="F147" s="161">
        <v>9</v>
      </c>
      <c r="G147" s="199">
        <v>4</v>
      </c>
      <c r="H147" s="200">
        <f t="shared" si="25"/>
        <v>20.675126363367955</v>
      </c>
      <c r="I147" s="200">
        <f t="shared" si="39"/>
        <v>14.638781214716566</v>
      </c>
      <c r="J147" s="201">
        <f t="shared" si="36"/>
        <v>58.555124858866265</v>
      </c>
      <c r="K147" s="208">
        <f t="shared" si="41"/>
        <v>82.70050545347182</v>
      </c>
      <c r="L147" s="207">
        <f t="shared" si="43"/>
        <v>-24.145380594605555</v>
      </c>
      <c r="M147" s="204">
        <f t="shared" si="26"/>
        <v>-0.76966803286261753</v>
      </c>
      <c r="N147" s="205">
        <f t="shared" si="27"/>
        <v>-24.915048627468174</v>
      </c>
      <c r="O147" s="204">
        <v>0</v>
      </c>
      <c r="P147" s="204">
        <v>0</v>
      </c>
      <c r="Q147" s="204">
        <v>0</v>
      </c>
      <c r="R147" s="205">
        <f t="shared" si="28"/>
        <v>-24.915048627468174</v>
      </c>
    </row>
    <row r="148" spans="1:19" x14ac:dyDescent="0.2">
      <c r="A148" s="161">
        <v>9</v>
      </c>
      <c r="B148" s="196">
        <f t="shared" si="35"/>
        <v>44440</v>
      </c>
      <c r="C148" s="220">
        <f t="shared" si="42"/>
        <v>44474</v>
      </c>
      <c r="D148" s="220">
        <f t="shared" si="42"/>
        <v>44494</v>
      </c>
      <c r="E148" s="54" t="s">
        <v>16</v>
      </c>
      <c r="F148" s="161">
        <v>9</v>
      </c>
      <c r="G148" s="199">
        <v>4</v>
      </c>
      <c r="H148" s="200">
        <f t="shared" si="25"/>
        <v>20.675126363367955</v>
      </c>
      <c r="I148" s="200">
        <f t="shared" ref="I148:I179" si="44">$J$3</f>
        <v>14.638781214716566</v>
      </c>
      <c r="J148" s="201">
        <f t="shared" si="36"/>
        <v>58.555124858866265</v>
      </c>
      <c r="K148" s="208">
        <f t="shared" si="41"/>
        <v>82.70050545347182</v>
      </c>
      <c r="L148" s="207">
        <f t="shared" si="43"/>
        <v>-24.145380594605555</v>
      </c>
      <c r="M148" s="204">
        <f t="shared" si="26"/>
        <v>-0.76966803286261753</v>
      </c>
      <c r="N148" s="205">
        <f t="shared" si="27"/>
        <v>-24.915048627468174</v>
      </c>
      <c r="O148" s="204">
        <v>0</v>
      </c>
      <c r="P148" s="204">
        <v>0</v>
      </c>
      <c r="Q148" s="204">
        <v>0</v>
      </c>
      <c r="R148" s="205">
        <f t="shared" si="28"/>
        <v>-24.915048627468174</v>
      </c>
    </row>
    <row r="149" spans="1:19" x14ac:dyDescent="0.2">
      <c r="A149" s="124">
        <v>10</v>
      </c>
      <c r="B149" s="196">
        <f t="shared" ref="B149:B211" si="45">DATE($R$1,A149,1)</f>
        <v>44470</v>
      </c>
      <c r="C149" s="220">
        <f t="shared" si="42"/>
        <v>44503</v>
      </c>
      <c r="D149" s="220">
        <f t="shared" si="42"/>
        <v>44524</v>
      </c>
      <c r="E149" s="54" t="s">
        <v>16</v>
      </c>
      <c r="F149" s="161">
        <v>9</v>
      </c>
      <c r="G149" s="199">
        <v>4</v>
      </c>
      <c r="H149" s="200">
        <f t="shared" ref="H149:H211" si="46">+$K$3</f>
        <v>20.675126363367955</v>
      </c>
      <c r="I149" s="200">
        <f t="shared" si="44"/>
        <v>14.638781214716566</v>
      </c>
      <c r="J149" s="201">
        <f t="shared" ref="J149:J211" si="47">+$G149*I149</f>
        <v>58.555124858866265</v>
      </c>
      <c r="K149" s="208">
        <f t="shared" si="41"/>
        <v>82.70050545347182</v>
      </c>
      <c r="L149" s="207">
        <f t="shared" si="43"/>
        <v>-24.145380594605555</v>
      </c>
      <c r="M149" s="204">
        <f t="shared" ref="M149:M211" si="48">G149/$G$212*$M$14</f>
        <v>-0.76966803286261753</v>
      </c>
      <c r="N149" s="205">
        <f t="shared" ref="N149:N211" si="49">SUM(L149:M149)</f>
        <v>-24.915048627468174</v>
      </c>
      <c r="O149" s="204">
        <v>0</v>
      </c>
      <c r="P149" s="204">
        <v>0</v>
      </c>
      <c r="Q149" s="204">
        <v>0</v>
      </c>
      <c r="R149" s="205">
        <f t="shared" ref="R149:R211" si="50">+N149-Q149</f>
        <v>-24.915048627468174</v>
      </c>
    </row>
    <row r="150" spans="1:19" x14ac:dyDescent="0.2">
      <c r="A150" s="161">
        <v>11</v>
      </c>
      <c r="B150" s="196">
        <f t="shared" si="45"/>
        <v>44501</v>
      </c>
      <c r="C150" s="220">
        <f t="shared" si="42"/>
        <v>44533</v>
      </c>
      <c r="D150" s="220">
        <f t="shared" si="42"/>
        <v>44557</v>
      </c>
      <c r="E150" s="54" t="s">
        <v>16</v>
      </c>
      <c r="F150" s="161">
        <v>9</v>
      </c>
      <c r="G150" s="199">
        <v>4</v>
      </c>
      <c r="H150" s="200">
        <f t="shared" si="46"/>
        <v>20.675126363367955</v>
      </c>
      <c r="I150" s="200">
        <f t="shared" si="44"/>
        <v>14.638781214716566</v>
      </c>
      <c r="J150" s="201">
        <f t="shared" si="47"/>
        <v>58.555124858866265</v>
      </c>
      <c r="K150" s="208">
        <f t="shared" si="41"/>
        <v>82.70050545347182</v>
      </c>
      <c r="L150" s="207">
        <f t="shared" si="43"/>
        <v>-24.145380594605555</v>
      </c>
      <c r="M150" s="204">
        <f t="shared" si="48"/>
        <v>-0.76966803286261753</v>
      </c>
      <c r="N150" s="205">
        <f t="shared" si="49"/>
        <v>-24.915048627468174</v>
      </c>
      <c r="O150" s="204">
        <v>0</v>
      </c>
      <c r="P150" s="204">
        <v>0</v>
      </c>
      <c r="Q150" s="204">
        <v>0</v>
      </c>
      <c r="R150" s="205">
        <f t="shared" si="50"/>
        <v>-24.915048627468174</v>
      </c>
    </row>
    <row r="151" spans="1:19" s="224" customFormat="1" x14ac:dyDescent="0.2">
      <c r="A151" s="161">
        <v>12</v>
      </c>
      <c r="B151" s="222">
        <f t="shared" si="45"/>
        <v>44531</v>
      </c>
      <c r="C151" s="220">
        <f t="shared" si="42"/>
        <v>44566</v>
      </c>
      <c r="D151" s="220">
        <f t="shared" si="42"/>
        <v>44585</v>
      </c>
      <c r="E151" s="223" t="s">
        <v>16</v>
      </c>
      <c r="F151" s="172">
        <v>9</v>
      </c>
      <c r="G151" s="211">
        <v>1</v>
      </c>
      <c r="H151" s="212">
        <f t="shared" si="46"/>
        <v>20.675126363367955</v>
      </c>
      <c r="I151" s="212">
        <f t="shared" si="44"/>
        <v>14.638781214716566</v>
      </c>
      <c r="J151" s="213">
        <f t="shared" si="47"/>
        <v>14.638781214716566</v>
      </c>
      <c r="K151" s="214">
        <f t="shared" si="41"/>
        <v>20.675126363367955</v>
      </c>
      <c r="L151" s="215">
        <f t="shared" si="43"/>
        <v>-6.0363451486513888</v>
      </c>
      <c r="M151" s="204">
        <f t="shared" si="48"/>
        <v>-0.19241700821565438</v>
      </c>
      <c r="N151" s="205">
        <f t="shared" si="49"/>
        <v>-6.2287621568670435</v>
      </c>
      <c r="O151" s="204">
        <v>0</v>
      </c>
      <c r="P151" s="204">
        <v>0</v>
      </c>
      <c r="Q151" s="204">
        <v>0</v>
      </c>
      <c r="R151" s="205">
        <f t="shared" si="50"/>
        <v>-6.2287621568670435</v>
      </c>
    </row>
    <row r="152" spans="1:19" x14ac:dyDescent="0.2">
      <c r="A152" s="124">
        <v>1</v>
      </c>
      <c r="B152" s="196">
        <f t="shared" si="45"/>
        <v>44197</v>
      </c>
      <c r="C152" s="217">
        <f t="shared" ref="C152:D171" si="51">+C140</f>
        <v>44230</v>
      </c>
      <c r="D152" s="217">
        <f t="shared" si="51"/>
        <v>44251</v>
      </c>
      <c r="E152" s="227" t="s">
        <v>53</v>
      </c>
      <c r="F152" s="124">
        <v>9</v>
      </c>
      <c r="G152" s="199">
        <v>104</v>
      </c>
      <c r="H152" s="200">
        <f t="shared" si="46"/>
        <v>20.675126363367955</v>
      </c>
      <c r="I152" s="200">
        <f t="shared" si="44"/>
        <v>14.638781214716566</v>
      </c>
      <c r="J152" s="201">
        <f t="shared" si="47"/>
        <v>1522.4332463305229</v>
      </c>
      <c r="K152" s="202">
        <f t="shared" si="41"/>
        <v>2150.2131417902674</v>
      </c>
      <c r="L152" s="203">
        <f t="shared" si="43"/>
        <v>-627.77989545974447</v>
      </c>
      <c r="M152" s="204">
        <f t="shared" si="48"/>
        <v>-20.01136885442806</v>
      </c>
      <c r="N152" s="205">
        <f t="shared" si="49"/>
        <v>-647.79126431417251</v>
      </c>
      <c r="O152" s="204">
        <v>0</v>
      </c>
      <c r="P152" s="204">
        <v>0</v>
      </c>
      <c r="Q152" s="204">
        <v>0</v>
      </c>
      <c r="R152" s="205">
        <f t="shared" si="50"/>
        <v>-647.79126431417251</v>
      </c>
    </row>
    <row r="153" spans="1:19" x14ac:dyDescent="0.2">
      <c r="A153" s="161">
        <v>2</v>
      </c>
      <c r="B153" s="196">
        <f t="shared" si="45"/>
        <v>44228</v>
      </c>
      <c r="C153" s="220">
        <f t="shared" si="51"/>
        <v>44258</v>
      </c>
      <c r="D153" s="220">
        <f t="shared" si="51"/>
        <v>44279</v>
      </c>
      <c r="E153" s="228" t="s">
        <v>53</v>
      </c>
      <c r="F153" s="161">
        <v>9</v>
      </c>
      <c r="G153" s="199">
        <v>133</v>
      </c>
      <c r="H153" s="200">
        <f t="shared" si="46"/>
        <v>20.675126363367955</v>
      </c>
      <c r="I153" s="200">
        <f t="shared" si="44"/>
        <v>14.638781214716566</v>
      </c>
      <c r="J153" s="201">
        <f t="shared" si="47"/>
        <v>1946.9579015573033</v>
      </c>
      <c r="K153" s="202">
        <f t="shared" si="41"/>
        <v>2749.791806327938</v>
      </c>
      <c r="L153" s="203">
        <f t="shared" si="43"/>
        <v>-802.83390477063472</v>
      </c>
      <c r="M153" s="204">
        <f t="shared" si="48"/>
        <v>-25.591462092682033</v>
      </c>
      <c r="N153" s="205">
        <f t="shared" si="49"/>
        <v>-828.42536686331675</v>
      </c>
      <c r="O153" s="204">
        <v>0</v>
      </c>
      <c r="P153" s="204">
        <v>0</v>
      </c>
      <c r="Q153" s="204">
        <v>0</v>
      </c>
      <c r="R153" s="205">
        <f t="shared" si="50"/>
        <v>-828.42536686331675</v>
      </c>
    </row>
    <row r="154" spans="1:19" x14ac:dyDescent="0.2">
      <c r="A154" s="161">
        <v>3</v>
      </c>
      <c r="B154" s="196">
        <f t="shared" si="45"/>
        <v>44256</v>
      </c>
      <c r="C154" s="220">
        <f t="shared" si="51"/>
        <v>44291</v>
      </c>
      <c r="D154" s="220">
        <f t="shared" si="51"/>
        <v>44312</v>
      </c>
      <c r="E154" s="228" t="s">
        <v>53</v>
      </c>
      <c r="F154" s="161">
        <v>9</v>
      </c>
      <c r="G154" s="199">
        <v>87</v>
      </c>
      <c r="H154" s="200">
        <f t="shared" si="46"/>
        <v>20.675126363367955</v>
      </c>
      <c r="I154" s="200">
        <f t="shared" si="44"/>
        <v>14.638781214716566</v>
      </c>
      <c r="J154" s="201">
        <f t="shared" si="47"/>
        <v>1273.5739656803412</v>
      </c>
      <c r="K154" s="202">
        <f t="shared" si="41"/>
        <v>1798.7359936130122</v>
      </c>
      <c r="L154" s="203">
        <f>+J154-K154</f>
        <v>-525.16202793267098</v>
      </c>
      <c r="M154" s="204">
        <f t="shared" si="48"/>
        <v>-16.740279714761932</v>
      </c>
      <c r="N154" s="205">
        <f t="shared" si="49"/>
        <v>-541.90230764743296</v>
      </c>
      <c r="O154" s="204">
        <v>0</v>
      </c>
      <c r="P154" s="204">
        <v>0</v>
      </c>
      <c r="Q154" s="204">
        <v>0</v>
      </c>
      <c r="R154" s="205">
        <f t="shared" si="50"/>
        <v>-541.90230764743296</v>
      </c>
    </row>
    <row r="155" spans="1:19" x14ac:dyDescent="0.2">
      <c r="A155" s="124">
        <v>4</v>
      </c>
      <c r="B155" s="196">
        <f t="shared" si="45"/>
        <v>44287</v>
      </c>
      <c r="C155" s="220">
        <f t="shared" si="51"/>
        <v>44321</v>
      </c>
      <c r="D155" s="220">
        <f t="shared" si="51"/>
        <v>44340</v>
      </c>
      <c r="E155" s="228" t="s">
        <v>53</v>
      </c>
      <c r="F155" s="161">
        <v>9</v>
      </c>
      <c r="G155" s="199">
        <v>77</v>
      </c>
      <c r="H155" s="200">
        <f t="shared" si="46"/>
        <v>20.675126363367955</v>
      </c>
      <c r="I155" s="200">
        <f t="shared" si="44"/>
        <v>14.638781214716566</v>
      </c>
      <c r="J155" s="201">
        <f t="shared" si="47"/>
        <v>1127.1861535331757</v>
      </c>
      <c r="K155" s="202">
        <f t="shared" si="41"/>
        <v>1591.9847299793325</v>
      </c>
      <c r="L155" s="203">
        <f t="shared" ref="L155:L165" si="52">+J155-K155</f>
        <v>-464.79857644615686</v>
      </c>
      <c r="M155" s="204">
        <f t="shared" si="48"/>
        <v>-14.816109632605388</v>
      </c>
      <c r="N155" s="205">
        <f t="shared" si="49"/>
        <v>-479.61468607876225</v>
      </c>
      <c r="O155" s="204">
        <v>0</v>
      </c>
      <c r="P155" s="204">
        <v>0</v>
      </c>
      <c r="Q155" s="204">
        <v>0</v>
      </c>
      <c r="R155" s="205">
        <f t="shared" si="50"/>
        <v>-479.61468607876225</v>
      </c>
    </row>
    <row r="156" spans="1:19" x14ac:dyDescent="0.2">
      <c r="A156" s="161">
        <v>5</v>
      </c>
      <c r="B156" s="196">
        <f t="shared" si="45"/>
        <v>44317</v>
      </c>
      <c r="C156" s="220">
        <f t="shared" si="51"/>
        <v>44350</v>
      </c>
      <c r="D156" s="220">
        <f t="shared" si="51"/>
        <v>44371</v>
      </c>
      <c r="E156" s="228" t="s">
        <v>53</v>
      </c>
      <c r="F156" s="161">
        <v>9</v>
      </c>
      <c r="G156" s="199">
        <v>104</v>
      </c>
      <c r="H156" s="200">
        <f t="shared" si="46"/>
        <v>20.675126363367955</v>
      </c>
      <c r="I156" s="200">
        <f t="shared" si="44"/>
        <v>14.638781214716566</v>
      </c>
      <c r="J156" s="201">
        <f t="shared" si="47"/>
        <v>1522.4332463305229</v>
      </c>
      <c r="K156" s="202">
        <f t="shared" si="41"/>
        <v>2150.2131417902674</v>
      </c>
      <c r="L156" s="203">
        <f t="shared" si="52"/>
        <v>-627.77989545974447</v>
      </c>
      <c r="M156" s="204">
        <f t="shared" si="48"/>
        <v>-20.01136885442806</v>
      </c>
      <c r="N156" s="205">
        <f t="shared" si="49"/>
        <v>-647.79126431417251</v>
      </c>
      <c r="O156" s="204">
        <v>0</v>
      </c>
      <c r="P156" s="204">
        <v>0</v>
      </c>
      <c r="Q156" s="204">
        <v>0</v>
      </c>
      <c r="R156" s="205">
        <f t="shared" si="50"/>
        <v>-647.79126431417251</v>
      </c>
    </row>
    <row r="157" spans="1:19" x14ac:dyDescent="0.2">
      <c r="A157" s="161">
        <v>6</v>
      </c>
      <c r="B157" s="196">
        <f t="shared" si="45"/>
        <v>44348</v>
      </c>
      <c r="C157" s="220">
        <f t="shared" si="51"/>
        <v>44383</v>
      </c>
      <c r="D157" s="220">
        <f t="shared" si="51"/>
        <v>44401</v>
      </c>
      <c r="E157" s="228" t="s">
        <v>53</v>
      </c>
      <c r="F157" s="161">
        <v>9</v>
      </c>
      <c r="G157" s="199">
        <v>144</v>
      </c>
      <c r="H157" s="200">
        <f t="shared" si="46"/>
        <v>20.675126363367955</v>
      </c>
      <c r="I157" s="200">
        <f t="shared" si="44"/>
        <v>14.638781214716566</v>
      </c>
      <c r="J157" s="201">
        <f t="shared" si="47"/>
        <v>2107.9844949191856</v>
      </c>
      <c r="K157" s="202">
        <f t="shared" si="41"/>
        <v>2977.2181963249855</v>
      </c>
      <c r="L157" s="207">
        <f t="shared" si="52"/>
        <v>-869.23370140579982</v>
      </c>
      <c r="M157" s="204">
        <f t="shared" si="48"/>
        <v>-27.708049183054232</v>
      </c>
      <c r="N157" s="205">
        <f t="shared" si="49"/>
        <v>-896.94175058885401</v>
      </c>
      <c r="O157" s="204">
        <v>0</v>
      </c>
      <c r="P157" s="204">
        <v>0</v>
      </c>
      <c r="Q157" s="204">
        <v>0</v>
      </c>
      <c r="R157" s="205">
        <f t="shared" si="50"/>
        <v>-896.94175058885401</v>
      </c>
    </row>
    <row r="158" spans="1:19" x14ac:dyDescent="0.2">
      <c r="A158" s="124">
        <v>7</v>
      </c>
      <c r="B158" s="196">
        <f t="shared" si="45"/>
        <v>44378</v>
      </c>
      <c r="C158" s="220">
        <f t="shared" si="51"/>
        <v>44412</v>
      </c>
      <c r="D158" s="220">
        <f t="shared" si="51"/>
        <v>44432</v>
      </c>
      <c r="E158" s="228" t="s">
        <v>53</v>
      </c>
      <c r="F158" s="161">
        <v>9</v>
      </c>
      <c r="G158" s="199">
        <v>161</v>
      </c>
      <c r="H158" s="200">
        <f t="shared" si="46"/>
        <v>20.675126363367955</v>
      </c>
      <c r="I158" s="200">
        <f t="shared" si="44"/>
        <v>14.638781214716566</v>
      </c>
      <c r="J158" s="201">
        <f t="shared" si="47"/>
        <v>2356.8437755693672</v>
      </c>
      <c r="K158" s="208">
        <f t="shared" si="41"/>
        <v>3328.6953445022409</v>
      </c>
      <c r="L158" s="207">
        <f t="shared" si="52"/>
        <v>-971.85156893287376</v>
      </c>
      <c r="M158" s="204">
        <f t="shared" si="48"/>
        <v>-30.979138322720356</v>
      </c>
      <c r="N158" s="205">
        <f t="shared" si="49"/>
        <v>-1002.8307072555941</v>
      </c>
      <c r="O158" s="204">
        <v>0</v>
      </c>
      <c r="P158" s="204">
        <v>0</v>
      </c>
      <c r="Q158" s="204">
        <v>0</v>
      </c>
      <c r="R158" s="205">
        <f t="shared" si="50"/>
        <v>-1002.8307072555941</v>
      </c>
    </row>
    <row r="159" spans="1:19" x14ac:dyDescent="0.2">
      <c r="A159" s="161">
        <v>8</v>
      </c>
      <c r="B159" s="196">
        <f t="shared" si="45"/>
        <v>44409</v>
      </c>
      <c r="C159" s="220">
        <f t="shared" si="51"/>
        <v>44442</v>
      </c>
      <c r="D159" s="220">
        <f t="shared" si="51"/>
        <v>44463</v>
      </c>
      <c r="E159" s="228" t="s">
        <v>53</v>
      </c>
      <c r="F159" s="124">
        <v>9</v>
      </c>
      <c r="G159" s="199">
        <v>163</v>
      </c>
      <c r="H159" s="200">
        <f t="shared" si="46"/>
        <v>20.675126363367955</v>
      </c>
      <c r="I159" s="200">
        <f t="shared" si="44"/>
        <v>14.638781214716566</v>
      </c>
      <c r="J159" s="201">
        <f t="shared" si="47"/>
        <v>2386.1213379988003</v>
      </c>
      <c r="K159" s="208">
        <f t="shared" si="41"/>
        <v>3370.0455972289765</v>
      </c>
      <c r="L159" s="207">
        <f t="shared" si="52"/>
        <v>-983.92425923017618</v>
      </c>
      <c r="M159" s="204">
        <f t="shared" si="48"/>
        <v>-31.363972339151665</v>
      </c>
      <c r="N159" s="205">
        <f t="shared" si="49"/>
        <v>-1015.2882315693279</v>
      </c>
      <c r="O159" s="204">
        <v>0</v>
      </c>
      <c r="P159" s="204">
        <v>0</v>
      </c>
      <c r="Q159" s="204">
        <v>0</v>
      </c>
      <c r="R159" s="205">
        <f t="shared" si="50"/>
        <v>-1015.2882315693279</v>
      </c>
      <c r="S159" s="52"/>
    </row>
    <row r="160" spans="1:19" x14ac:dyDescent="0.2">
      <c r="A160" s="161">
        <v>9</v>
      </c>
      <c r="B160" s="196">
        <f t="shared" si="45"/>
        <v>44440</v>
      </c>
      <c r="C160" s="220">
        <f t="shared" si="51"/>
        <v>44474</v>
      </c>
      <c r="D160" s="220">
        <f t="shared" si="51"/>
        <v>44494</v>
      </c>
      <c r="E160" s="228" t="s">
        <v>53</v>
      </c>
      <c r="F160" s="124">
        <v>9</v>
      </c>
      <c r="G160" s="199">
        <v>153</v>
      </c>
      <c r="H160" s="200">
        <f t="shared" si="46"/>
        <v>20.675126363367955</v>
      </c>
      <c r="I160" s="200">
        <f t="shared" si="44"/>
        <v>14.638781214716566</v>
      </c>
      <c r="J160" s="201">
        <f t="shared" si="47"/>
        <v>2239.7335258516346</v>
      </c>
      <c r="K160" s="208">
        <f t="shared" si="41"/>
        <v>3163.2943335952973</v>
      </c>
      <c r="L160" s="207">
        <f t="shared" si="52"/>
        <v>-923.56080774366274</v>
      </c>
      <c r="M160" s="204">
        <f t="shared" si="48"/>
        <v>-29.439802256995122</v>
      </c>
      <c r="N160" s="205">
        <f t="shared" si="49"/>
        <v>-953.00061000065784</v>
      </c>
      <c r="O160" s="204">
        <v>0</v>
      </c>
      <c r="P160" s="204">
        <v>0</v>
      </c>
      <c r="Q160" s="204">
        <v>0</v>
      </c>
      <c r="R160" s="205">
        <f t="shared" si="50"/>
        <v>-953.00061000065784</v>
      </c>
    </row>
    <row r="161" spans="1:19" x14ac:dyDescent="0.2">
      <c r="A161" s="124">
        <v>10</v>
      </c>
      <c r="B161" s="196">
        <f t="shared" si="45"/>
        <v>44470</v>
      </c>
      <c r="C161" s="220">
        <f t="shared" si="51"/>
        <v>44503</v>
      </c>
      <c r="D161" s="220">
        <f t="shared" si="51"/>
        <v>44524</v>
      </c>
      <c r="E161" s="228" t="s">
        <v>53</v>
      </c>
      <c r="F161" s="124">
        <v>9</v>
      </c>
      <c r="G161" s="199">
        <v>117</v>
      </c>
      <c r="H161" s="200">
        <f t="shared" si="46"/>
        <v>20.675126363367955</v>
      </c>
      <c r="I161" s="200">
        <f t="shared" si="44"/>
        <v>14.638781214716566</v>
      </c>
      <c r="J161" s="201">
        <f t="shared" si="47"/>
        <v>1712.7374021218382</v>
      </c>
      <c r="K161" s="208">
        <f t="shared" si="41"/>
        <v>2418.9897845140508</v>
      </c>
      <c r="L161" s="207">
        <f t="shared" si="52"/>
        <v>-706.25238239221267</v>
      </c>
      <c r="M161" s="204">
        <f t="shared" si="48"/>
        <v>-22.512789961231565</v>
      </c>
      <c r="N161" s="205">
        <f t="shared" si="49"/>
        <v>-728.7651723534442</v>
      </c>
      <c r="O161" s="204">
        <v>0</v>
      </c>
      <c r="P161" s="204">
        <v>0</v>
      </c>
      <c r="Q161" s="204">
        <v>0</v>
      </c>
      <c r="R161" s="205">
        <f t="shared" si="50"/>
        <v>-728.7651723534442</v>
      </c>
    </row>
    <row r="162" spans="1:19" x14ac:dyDescent="0.2">
      <c r="A162" s="161">
        <v>11</v>
      </c>
      <c r="B162" s="196">
        <f t="shared" si="45"/>
        <v>44501</v>
      </c>
      <c r="C162" s="220">
        <f t="shared" si="51"/>
        <v>44533</v>
      </c>
      <c r="D162" s="220">
        <f t="shared" si="51"/>
        <v>44557</v>
      </c>
      <c r="E162" s="228" t="s">
        <v>53</v>
      </c>
      <c r="F162" s="124">
        <v>9</v>
      </c>
      <c r="G162" s="199">
        <v>91</v>
      </c>
      <c r="H162" s="200">
        <f t="shared" si="46"/>
        <v>20.675126363367955</v>
      </c>
      <c r="I162" s="200">
        <f t="shared" si="44"/>
        <v>14.638781214716566</v>
      </c>
      <c r="J162" s="201">
        <f t="shared" si="47"/>
        <v>1332.1290905392075</v>
      </c>
      <c r="K162" s="208">
        <f t="shared" si="41"/>
        <v>1881.436499066484</v>
      </c>
      <c r="L162" s="207">
        <f t="shared" si="52"/>
        <v>-549.30740852727649</v>
      </c>
      <c r="M162" s="204">
        <f t="shared" si="48"/>
        <v>-17.509947747624551</v>
      </c>
      <c r="N162" s="205">
        <f t="shared" si="49"/>
        <v>-566.81735627490104</v>
      </c>
      <c r="O162" s="204">
        <v>0</v>
      </c>
      <c r="P162" s="204">
        <v>0</v>
      </c>
      <c r="Q162" s="204">
        <v>0</v>
      </c>
      <c r="R162" s="205">
        <f t="shared" si="50"/>
        <v>-566.81735627490104</v>
      </c>
    </row>
    <row r="163" spans="1:19" s="224" customFormat="1" x14ac:dyDescent="0.2">
      <c r="A163" s="161">
        <v>12</v>
      </c>
      <c r="B163" s="222">
        <f t="shared" si="45"/>
        <v>44531</v>
      </c>
      <c r="C163" s="220">
        <f t="shared" si="51"/>
        <v>44566</v>
      </c>
      <c r="D163" s="220">
        <f t="shared" si="51"/>
        <v>44585</v>
      </c>
      <c r="E163" s="229" t="s">
        <v>53</v>
      </c>
      <c r="F163" s="172">
        <v>9</v>
      </c>
      <c r="G163" s="211">
        <v>94</v>
      </c>
      <c r="H163" s="212">
        <f t="shared" si="46"/>
        <v>20.675126363367955</v>
      </c>
      <c r="I163" s="212">
        <f t="shared" si="44"/>
        <v>14.638781214716566</v>
      </c>
      <c r="J163" s="213">
        <f t="shared" si="47"/>
        <v>1376.0454341833572</v>
      </c>
      <c r="K163" s="214">
        <f t="shared" si="41"/>
        <v>1943.4618781565878</v>
      </c>
      <c r="L163" s="215">
        <f t="shared" si="52"/>
        <v>-567.41644397323057</v>
      </c>
      <c r="M163" s="204">
        <f t="shared" si="48"/>
        <v>-18.087198772271513</v>
      </c>
      <c r="N163" s="205">
        <f t="shared" si="49"/>
        <v>-585.50364274550213</v>
      </c>
      <c r="O163" s="204">
        <v>0</v>
      </c>
      <c r="P163" s="204">
        <v>0</v>
      </c>
      <c r="Q163" s="204">
        <v>0</v>
      </c>
      <c r="R163" s="205">
        <f t="shared" si="50"/>
        <v>-585.50364274550213</v>
      </c>
    </row>
    <row r="164" spans="1:19" x14ac:dyDescent="0.2">
      <c r="A164" s="124">
        <v>1</v>
      </c>
      <c r="B164" s="196">
        <f t="shared" si="45"/>
        <v>44197</v>
      </c>
      <c r="C164" s="217">
        <f t="shared" si="51"/>
        <v>44230</v>
      </c>
      <c r="D164" s="217">
        <f t="shared" si="51"/>
        <v>44251</v>
      </c>
      <c r="E164" s="227" t="s">
        <v>54</v>
      </c>
      <c r="F164" s="124">
        <v>9</v>
      </c>
      <c r="G164" s="199">
        <v>11</v>
      </c>
      <c r="H164" s="200">
        <f t="shared" si="46"/>
        <v>20.675126363367955</v>
      </c>
      <c r="I164" s="200">
        <f t="shared" si="44"/>
        <v>14.638781214716566</v>
      </c>
      <c r="J164" s="201">
        <f t="shared" si="47"/>
        <v>161.02659336188222</v>
      </c>
      <c r="K164" s="202">
        <f t="shared" si="41"/>
        <v>227.42638999704749</v>
      </c>
      <c r="L164" s="203">
        <f t="shared" si="52"/>
        <v>-66.399796635165274</v>
      </c>
      <c r="M164" s="204">
        <f t="shared" si="48"/>
        <v>-2.1165870903721986</v>
      </c>
      <c r="N164" s="205">
        <f t="shared" si="49"/>
        <v>-68.516383725537466</v>
      </c>
      <c r="O164" s="204">
        <v>0</v>
      </c>
      <c r="P164" s="204">
        <v>0</v>
      </c>
      <c r="Q164" s="204">
        <v>0</v>
      </c>
      <c r="R164" s="205">
        <f t="shared" si="50"/>
        <v>-68.516383725537466</v>
      </c>
    </row>
    <row r="165" spans="1:19" x14ac:dyDescent="0.2">
      <c r="A165" s="161">
        <v>2</v>
      </c>
      <c r="B165" s="196">
        <f t="shared" si="45"/>
        <v>44228</v>
      </c>
      <c r="C165" s="220">
        <f t="shared" si="51"/>
        <v>44258</v>
      </c>
      <c r="D165" s="220">
        <f t="shared" si="51"/>
        <v>44279</v>
      </c>
      <c r="E165" s="228" t="s">
        <v>54</v>
      </c>
      <c r="F165" s="161">
        <v>9</v>
      </c>
      <c r="G165" s="199">
        <v>8</v>
      </c>
      <c r="H165" s="200">
        <f t="shared" si="46"/>
        <v>20.675126363367955</v>
      </c>
      <c r="I165" s="200">
        <f t="shared" si="44"/>
        <v>14.638781214716566</v>
      </c>
      <c r="J165" s="201">
        <f t="shared" si="47"/>
        <v>117.11024971773253</v>
      </c>
      <c r="K165" s="202">
        <f t="shared" si="41"/>
        <v>165.40101090694364</v>
      </c>
      <c r="L165" s="203">
        <f t="shared" si="52"/>
        <v>-48.290761189211111</v>
      </c>
      <c r="M165" s="204">
        <f t="shared" si="48"/>
        <v>-1.5393360657252351</v>
      </c>
      <c r="N165" s="205">
        <f t="shared" si="49"/>
        <v>-49.830097254936348</v>
      </c>
      <c r="O165" s="204">
        <v>0</v>
      </c>
      <c r="P165" s="204">
        <v>0</v>
      </c>
      <c r="Q165" s="204">
        <v>0</v>
      </c>
      <c r="R165" s="205">
        <f t="shared" si="50"/>
        <v>-49.830097254936348</v>
      </c>
    </row>
    <row r="166" spans="1:19" x14ac:dyDescent="0.2">
      <c r="A166" s="161">
        <v>3</v>
      </c>
      <c r="B166" s="196">
        <f t="shared" si="45"/>
        <v>44256</v>
      </c>
      <c r="C166" s="220">
        <f t="shared" si="51"/>
        <v>44291</v>
      </c>
      <c r="D166" s="220">
        <f t="shared" si="51"/>
        <v>44312</v>
      </c>
      <c r="E166" s="228" t="s">
        <v>54</v>
      </c>
      <c r="F166" s="161">
        <v>9</v>
      </c>
      <c r="G166" s="199">
        <v>7</v>
      </c>
      <c r="H166" s="200">
        <f t="shared" si="46"/>
        <v>20.675126363367955</v>
      </c>
      <c r="I166" s="200">
        <f t="shared" si="44"/>
        <v>14.638781214716566</v>
      </c>
      <c r="J166" s="201">
        <f t="shared" si="47"/>
        <v>102.47146850301596</v>
      </c>
      <c r="K166" s="202">
        <f t="shared" si="41"/>
        <v>144.72588454357569</v>
      </c>
      <c r="L166" s="203">
        <f>+J166-K166</f>
        <v>-42.254416040559732</v>
      </c>
      <c r="M166" s="204">
        <f t="shared" si="48"/>
        <v>-1.3469190575095809</v>
      </c>
      <c r="N166" s="205">
        <f t="shared" si="49"/>
        <v>-43.601335098069313</v>
      </c>
      <c r="O166" s="204">
        <v>0</v>
      </c>
      <c r="P166" s="204">
        <v>0</v>
      </c>
      <c r="Q166" s="204">
        <v>0</v>
      </c>
      <c r="R166" s="205">
        <f t="shared" si="50"/>
        <v>-43.601335098069313</v>
      </c>
    </row>
    <row r="167" spans="1:19" x14ac:dyDescent="0.2">
      <c r="A167" s="124">
        <v>4</v>
      </c>
      <c r="B167" s="196">
        <f t="shared" si="45"/>
        <v>44287</v>
      </c>
      <c r="C167" s="220">
        <f t="shared" si="51"/>
        <v>44321</v>
      </c>
      <c r="D167" s="220">
        <f t="shared" si="51"/>
        <v>44340</v>
      </c>
      <c r="E167" s="228" t="s">
        <v>54</v>
      </c>
      <c r="F167" s="161">
        <v>9</v>
      </c>
      <c r="G167" s="199">
        <v>12</v>
      </c>
      <c r="H167" s="200">
        <f t="shared" si="46"/>
        <v>20.675126363367955</v>
      </c>
      <c r="I167" s="200">
        <f t="shared" si="44"/>
        <v>14.638781214716566</v>
      </c>
      <c r="J167" s="201">
        <f t="shared" si="47"/>
        <v>175.66537457659879</v>
      </c>
      <c r="K167" s="202">
        <f t="shared" si="41"/>
        <v>248.10151636041547</v>
      </c>
      <c r="L167" s="203">
        <f t="shared" ref="L167:L177" si="53">+J167-K167</f>
        <v>-72.43614178381668</v>
      </c>
      <c r="M167" s="204">
        <f t="shared" si="48"/>
        <v>-2.3090040985878528</v>
      </c>
      <c r="N167" s="205">
        <f t="shared" si="49"/>
        <v>-74.745145882404529</v>
      </c>
      <c r="O167" s="204">
        <v>0</v>
      </c>
      <c r="P167" s="204">
        <v>0</v>
      </c>
      <c r="Q167" s="204">
        <v>0</v>
      </c>
      <c r="R167" s="205">
        <f t="shared" si="50"/>
        <v>-74.745145882404529</v>
      </c>
    </row>
    <row r="168" spans="1:19" x14ac:dyDescent="0.2">
      <c r="A168" s="161">
        <v>5</v>
      </c>
      <c r="B168" s="196">
        <f t="shared" si="45"/>
        <v>44317</v>
      </c>
      <c r="C168" s="220">
        <f t="shared" si="51"/>
        <v>44350</v>
      </c>
      <c r="D168" s="220">
        <f t="shared" si="51"/>
        <v>44371</v>
      </c>
      <c r="E168" s="228" t="s">
        <v>54</v>
      </c>
      <c r="F168" s="161">
        <v>9</v>
      </c>
      <c r="G168" s="199">
        <v>11</v>
      </c>
      <c r="H168" s="200">
        <f t="shared" si="46"/>
        <v>20.675126363367955</v>
      </c>
      <c r="I168" s="200">
        <f t="shared" si="44"/>
        <v>14.638781214716566</v>
      </c>
      <c r="J168" s="201">
        <f t="shared" si="47"/>
        <v>161.02659336188222</v>
      </c>
      <c r="K168" s="202">
        <f t="shared" si="41"/>
        <v>227.42638999704749</v>
      </c>
      <c r="L168" s="203">
        <f t="shared" si="53"/>
        <v>-66.399796635165274</v>
      </c>
      <c r="M168" s="204">
        <f t="shared" si="48"/>
        <v>-2.1165870903721986</v>
      </c>
      <c r="N168" s="205">
        <f t="shared" si="49"/>
        <v>-68.516383725537466</v>
      </c>
      <c r="O168" s="204">
        <v>0</v>
      </c>
      <c r="P168" s="204">
        <v>0</v>
      </c>
      <c r="Q168" s="204">
        <v>0</v>
      </c>
      <c r="R168" s="205">
        <f t="shared" si="50"/>
        <v>-68.516383725537466</v>
      </c>
    </row>
    <row r="169" spans="1:19" x14ac:dyDescent="0.2">
      <c r="A169" s="161">
        <v>6</v>
      </c>
      <c r="B169" s="196">
        <f t="shared" si="45"/>
        <v>44348</v>
      </c>
      <c r="C169" s="220">
        <f t="shared" si="51"/>
        <v>44383</v>
      </c>
      <c r="D169" s="220">
        <f t="shared" si="51"/>
        <v>44401</v>
      </c>
      <c r="E169" s="228" t="s">
        <v>54</v>
      </c>
      <c r="F169" s="161">
        <v>9</v>
      </c>
      <c r="G169" s="199">
        <v>13</v>
      </c>
      <c r="H169" s="200">
        <f t="shared" si="46"/>
        <v>20.675126363367955</v>
      </c>
      <c r="I169" s="200">
        <f t="shared" si="44"/>
        <v>14.638781214716566</v>
      </c>
      <c r="J169" s="201">
        <f t="shared" si="47"/>
        <v>190.30415579131537</v>
      </c>
      <c r="K169" s="202">
        <f t="shared" si="41"/>
        <v>268.77664272378343</v>
      </c>
      <c r="L169" s="207">
        <f t="shared" si="53"/>
        <v>-78.472486932468058</v>
      </c>
      <c r="M169" s="204">
        <f t="shared" si="48"/>
        <v>-2.5014211068035075</v>
      </c>
      <c r="N169" s="205">
        <f t="shared" si="49"/>
        <v>-80.973908039271564</v>
      </c>
      <c r="O169" s="204">
        <v>0</v>
      </c>
      <c r="P169" s="204">
        <v>0</v>
      </c>
      <c r="Q169" s="204">
        <v>0</v>
      </c>
      <c r="R169" s="205">
        <f t="shared" si="50"/>
        <v>-80.973908039271564</v>
      </c>
    </row>
    <row r="170" spans="1:19" x14ac:dyDescent="0.2">
      <c r="A170" s="124">
        <v>7</v>
      </c>
      <c r="B170" s="196">
        <f t="shared" si="45"/>
        <v>44378</v>
      </c>
      <c r="C170" s="220">
        <f t="shared" si="51"/>
        <v>44412</v>
      </c>
      <c r="D170" s="220">
        <f t="shared" si="51"/>
        <v>44432</v>
      </c>
      <c r="E170" s="228" t="s">
        <v>54</v>
      </c>
      <c r="F170" s="161">
        <v>9</v>
      </c>
      <c r="G170" s="199">
        <v>13</v>
      </c>
      <c r="H170" s="200">
        <f t="shared" si="46"/>
        <v>20.675126363367955</v>
      </c>
      <c r="I170" s="200">
        <f t="shared" si="44"/>
        <v>14.638781214716566</v>
      </c>
      <c r="J170" s="201">
        <f t="shared" si="47"/>
        <v>190.30415579131537</v>
      </c>
      <c r="K170" s="208">
        <f t="shared" si="41"/>
        <v>268.77664272378343</v>
      </c>
      <c r="L170" s="207">
        <f t="shared" si="53"/>
        <v>-78.472486932468058</v>
      </c>
      <c r="M170" s="204">
        <f t="shared" si="48"/>
        <v>-2.5014211068035075</v>
      </c>
      <c r="N170" s="205">
        <f t="shared" si="49"/>
        <v>-80.973908039271564</v>
      </c>
      <c r="O170" s="204">
        <v>0</v>
      </c>
      <c r="P170" s="204">
        <v>0</v>
      </c>
      <c r="Q170" s="204">
        <v>0</v>
      </c>
      <c r="R170" s="205">
        <f t="shared" si="50"/>
        <v>-80.973908039271564</v>
      </c>
    </row>
    <row r="171" spans="1:19" x14ac:dyDescent="0.2">
      <c r="A171" s="161">
        <v>8</v>
      </c>
      <c r="B171" s="196">
        <f t="shared" si="45"/>
        <v>44409</v>
      </c>
      <c r="C171" s="220">
        <f t="shared" si="51"/>
        <v>44442</v>
      </c>
      <c r="D171" s="220">
        <f t="shared" si="51"/>
        <v>44463</v>
      </c>
      <c r="E171" s="228" t="s">
        <v>54</v>
      </c>
      <c r="F171" s="124">
        <v>9</v>
      </c>
      <c r="G171" s="199">
        <v>12</v>
      </c>
      <c r="H171" s="200">
        <f t="shared" si="46"/>
        <v>20.675126363367955</v>
      </c>
      <c r="I171" s="200">
        <f t="shared" si="44"/>
        <v>14.638781214716566</v>
      </c>
      <c r="J171" s="201">
        <f t="shared" si="47"/>
        <v>175.66537457659879</v>
      </c>
      <c r="K171" s="208">
        <f t="shared" si="41"/>
        <v>248.10151636041547</v>
      </c>
      <c r="L171" s="207">
        <f t="shared" si="53"/>
        <v>-72.43614178381668</v>
      </c>
      <c r="M171" s="204">
        <f t="shared" si="48"/>
        <v>-2.3090040985878528</v>
      </c>
      <c r="N171" s="205">
        <f t="shared" si="49"/>
        <v>-74.745145882404529</v>
      </c>
      <c r="O171" s="204">
        <v>0</v>
      </c>
      <c r="P171" s="204">
        <v>0</v>
      </c>
      <c r="Q171" s="204">
        <v>0</v>
      </c>
      <c r="R171" s="205">
        <f t="shared" si="50"/>
        <v>-74.745145882404529</v>
      </c>
      <c r="S171" s="52"/>
    </row>
    <row r="172" spans="1:19" x14ac:dyDescent="0.2">
      <c r="A172" s="161">
        <v>9</v>
      </c>
      <c r="B172" s="196">
        <f t="shared" si="45"/>
        <v>44440</v>
      </c>
      <c r="C172" s="220">
        <f t="shared" ref="C172:D175" si="54">+C160</f>
        <v>44474</v>
      </c>
      <c r="D172" s="220">
        <f t="shared" si="54"/>
        <v>44494</v>
      </c>
      <c r="E172" s="228" t="s">
        <v>54</v>
      </c>
      <c r="F172" s="124">
        <v>9</v>
      </c>
      <c r="G172" s="199">
        <v>13</v>
      </c>
      <c r="H172" s="200">
        <f t="shared" si="46"/>
        <v>20.675126363367955</v>
      </c>
      <c r="I172" s="200">
        <f t="shared" si="44"/>
        <v>14.638781214716566</v>
      </c>
      <c r="J172" s="201">
        <f t="shared" si="47"/>
        <v>190.30415579131537</v>
      </c>
      <c r="K172" s="208">
        <f t="shared" si="41"/>
        <v>268.77664272378343</v>
      </c>
      <c r="L172" s="207">
        <f t="shared" si="53"/>
        <v>-78.472486932468058</v>
      </c>
      <c r="M172" s="204">
        <f t="shared" si="48"/>
        <v>-2.5014211068035075</v>
      </c>
      <c r="N172" s="205">
        <f t="shared" si="49"/>
        <v>-80.973908039271564</v>
      </c>
      <c r="O172" s="204">
        <v>0</v>
      </c>
      <c r="P172" s="204">
        <v>0</v>
      </c>
      <c r="Q172" s="204">
        <v>0</v>
      </c>
      <c r="R172" s="205">
        <f t="shared" si="50"/>
        <v>-80.973908039271564</v>
      </c>
    </row>
    <row r="173" spans="1:19" x14ac:dyDescent="0.2">
      <c r="A173" s="124">
        <v>10</v>
      </c>
      <c r="B173" s="196">
        <f t="shared" si="45"/>
        <v>44470</v>
      </c>
      <c r="C173" s="220">
        <f t="shared" si="54"/>
        <v>44503</v>
      </c>
      <c r="D173" s="220">
        <f t="shared" si="54"/>
        <v>44524</v>
      </c>
      <c r="E173" s="228" t="s">
        <v>54</v>
      </c>
      <c r="F173" s="124">
        <v>9</v>
      </c>
      <c r="G173" s="199">
        <v>8</v>
      </c>
      <c r="H173" s="200">
        <f t="shared" si="46"/>
        <v>20.675126363367955</v>
      </c>
      <c r="I173" s="200">
        <f t="shared" si="44"/>
        <v>14.638781214716566</v>
      </c>
      <c r="J173" s="201">
        <f t="shared" si="47"/>
        <v>117.11024971773253</v>
      </c>
      <c r="K173" s="208">
        <f t="shared" si="41"/>
        <v>165.40101090694364</v>
      </c>
      <c r="L173" s="207">
        <f t="shared" si="53"/>
        <v>-48.290761189211111</v>
      </c>
      <c r="M173" s="204">
        <f t="shared" si="48"/>
        <v>-1.5393360657252351</v>
      </c>
      <c r="N173" s="205">
        <f t="shared" si="49"/>
        <v>-49.830097254936348</v>
      </c>
      <c r="O173" s="204">
        <v>0</v>
      </c>
      <c r="P173" s="204">
        <v>0</v>
      </c>
      <c r="Q173" s="204">
        <v>0</v>
      </c>
      <c r="R173" s="205">
        <f t="shared" si="50"/>
        <v>-49.830097254936348</v>
      </c>
    </row>
    <row r="174" spans="1:19" x14ac:dyDescent="0.2">
      <c r="A174" s="161">
        <v>11</v>
      </c>
      <c r="B174" s="196">
        <f t="shared" si="45"/>
        <v>44501</v>
      </c>
      <c r="C174" s="220">
        <f t="shared" si="54"/>
        <v>44533</v>
      </c>
      <c r="D174" s="220">
        <f t="shared" si="54"/>
        <v>44557</v>
      </c>
      <c r="E174" s="228" t="s">
        <v>54</v>
      </c>
      <c r="F174" s="124">
        <v>9</v>
      </c>
      <c r="G174" s="199">
        <v>8</v>
      </c>
      <c r="H174" s="200">
        <f t="shared" si="46"/>
        <v>20.675126363367955</v>
      </c>
      <c r="I174" s="200">
        <f t="shared" si="44"/>
        <v>14.638781214716566</v>
      </c>
      <c r="J174" s="201">
        <f t="shared" si="47"/>
        <v>117.11024971773253</v>
      </c>
      <c r="K174" s="208">
        <f t="shared" si="41"/>
        <v>165.40101090694364</v>
      </c>
      <c r="L174" s="207">
        <f t="shared" si="53"/>
        <v>-48.290761189211111</v>
      </c>
      <c r="M174" s="204">
        <f t="shared" si="48"/>
        <v>-1.5393360657252351</v>
      </c>
      <c r="N174" s="205">
        <f t="shared" si="49"/>
        <v>-49.830097254936348</v>
      </c>
      <c r="O174" s="204">
        <v>0</v>
      </c>
      <c r="P174" s="204">
        <v>0</v>
      </c>
      <c r="Q174" s="204">
        <v>0</v>
      </c>
      <c r="R174" s="205">
        <f t="shared" si="50"/>
        <v>-49.830097254936348</v>
      </c>
    </row>
    <row r="175" spans="1:19" s="224" customFormat="1" x14ac:dyDescent="0.2">
      <c r="A175" s="161">
        <v>12</v>
      </c>
      <c r="B175" s="222">
        <f t="shared" si="45"/>
        <v>44531</v>
      </c>
      <c r="C175" s="220">
        <f t="shared" si="54"/>
        <v>44566</v>
      </c>
      <c r="D175" s="220">
        <f t="shared" si="54"/>
        <v>44585</v>
      </c>
      <c r="E175" s="229" t="s">
        <v>54</v>
      </c>
      <c r="F175" s="172">
        <v>9</v>
      </c>
      <c r="G175" s="211">
        <v>11</v>
      </c>
      <c r="H175" s="212">
        <f t="shared" si="46"/>
        <v>20.675126363367955</v>
      </c>
      <c r="I175" s="212">
        <f t="shared" si="44"/>
        <v>14.638781214716566</v>
      </c>
      <c r="J175" s="213">
        <f t="shared" si="47"/>
        <v>161.02659336188222</v>
      </c>
      <c r="K175" s="214">
        <f t="shared" si="41"/>
        <v>227.42638999704749</v>
      </c>
      <c r="L175" s="215">
        <f t="shared" si="53"/>
        <v>-66.399796635165274</v>
      </c>
      <c r="M175" s="204">
        <f t="shared" si="48"/>
        <v>-2.1165870903721986</v>
      </c>
      <c r="N175" s="205">
        <f t="shared" si="49"/>
        <v>-68.516383725537466</v>
      </c>
      <c r="O175" s="204">
        <v>0</v>
      </c>
      <c r="P175" s="204">
        <v>0</v>
      </c>
      <c r="Q175" s="204">
        <v>0</v>
      </c>
      <c r="R175" s="205">
        <f t="shared" si="50"/>
        <v>-68.516383725537466</v>
      </c>
    </row>
    <row r="176" spans="1:19" x14ac:dyDescent="0.2">
      <c r="A176" s="124">
        <v>1</v>
      </c>
      <c r="B176" s="196">
        <f t="shared" si="45"/>
        <v>44197</v>
      </c>
      <c r="C176" s="217">
        <f t="shared" ref="C176:D187" si="55">+C152</f>
        <v>44230</v>
      </c>
      <c r="D176" s="217">
        <f t="shared" si="55"/>
        <v>44251</v>
      </c>
      <c r="E176" s="227" t="s">
        <v>55</v>
      </c>
      <c r="F176" s="161">
        <v>9</v>
      </c>
      <c r="G176" s="199">
        <v>20</v>
      </c>
      <c r="H176" s="200">
        <f t="shared" si="46"/>
        <v>20.675126363367955</v>
      </c>
      <c r="I176" s="200">
        <f t="shared" si="44"/>
        <v>14.638781214716566</v>
      </c>
      <c r="J176" s="201">
        <f t="shared" si="47"/>
        <v>292.77562429433135</v>
      </c>
      <c r="K176" s="202">
        <f t="shared" si="41"/>
        <v>413.50252726735908</v>
      </c>
      <c r="L176" s="203">
        <f t="shared" si="53"/>
        <v>-120.72690297302773</v>
      </c>
      <c r="M176" s="204">
        <f t="shared" si="48"/>
        <v>-3.8483401643130879</v>
      </c>
      <c r="N176" s="205">
        <f t="shared" si="49"/>
        <v>-124.57524313734082</v>
      </c>
      <c r="O176" s="204">
        <v>0</v>
      </c>
      <c r="P176" s="204">
        <v>0</v>
      </c>
      <c r="Q176" s="204">
        <v>0</v>
      </c>
      <c r="R176" s="205">
        <f t="shared" si="50"/>
        <v>-124.57524313734082</v>
      </c>
    </row>
    <row r="177" spans="1:18" x14ac:dyDescent="0.2">
      <c r="A177" s="161">
        <v>2</v>
      </c>
      <c r="B177" s="196">
        <f t="shared" si="45"/>
        <v>44228</v>
      </c>
      <c r="C177" s="220">
        <f t="shared" si="55"/>
        <v>44258</v>
      </c>
      <c r="D177" s="220">
        <f t="shared" si="55"/>
        <v>44279</v>
      </c>
      <c r="E177" s="54" t="s">
        <v>55</v>
      </c>
      <c r="F177" s="161">
        <v>9</v>
      </c>
      <c r="G177" s="199">
        <v>23</v>
      </c>
      <c r="H177" s="200">
        <f t="shared" si="46"/>
        <v>20.675126363367955</v>
      </c>
      <c r="I177" s="200">
        <f t="shared" si="44"/>
        <v>14.638781214716566</v>
      </c>
      <c r="J177" s="201">
        <f t="shared" si="47"/>
        <v>336.69196793848101</v>
      </c>
      <c r="K177" s="202">
        <f t="shared" si="41"/>
        <v>475.52790635746294</v>
      </c>
      <c r="L177" s="203">
        <f t="shared" si="53"/>
        <v>-138.83593841898193</v>
      </c>
      <c r="M177" s="204">
        <f t="shared" si="48"/>
        <v>-4.425591188960051</v>
      </c>
      <c r="N177" s="205">
        <f t="shared" si="49"/>
        <v>-143.26152960794198</v>
      </c>
      <c r="O177" s="204">
        <v>0</v>
      </c>
      <c r="P177" s="204">
        <v>0</v>
      </c>
      <c r="Q177" s="204">
        <v>0</v>
      </c>
      <c r="R177" s="205">
        <f t="shared" si="50"/>
        <v>-143.26152960794198</v>
      </c>
    </row>
    <row r="178" spans="1:18" x14ac:dyDescent="0.2">
      <c r="A178" s="161">
        <v>3</v>
      </c>
      <c r="B178" s="196">
        <f t="shared" si="45"/>
        <v>44256</v>
      </c>
      <c r="C178" s="220">
        <f t="shared" si="55"/>
        <v>44291</v>
      </c>
      <c r="D178" s="220">
        <f t="shared" si="55"/>
        <v>44312</v>
      </c>
      <c r="E178" s="54" t="s">
        <v>55</v>
      </c>
      <c r="F178" s="161">
        <v>9</v>
      </c>
      <c r="G178" s="199">
        <v>16</v>
      </c>
      <c r="H178" s="200">
        <f t="shared" si="46"/>
        <v>20.675126363367955</v>
      </c>
      <c r="I178" s="200">
        <f t="shared" si="44"/>
        <v>14.638781214716566</v>
      </c>
      <c r="J178" s="201">
        <f t="shared" si="47"/>
        <v>234.22049943546506</v>
      </c>
      <c r="K178" s="202">
        <f t="shared" si="41"/>
        <v>330.80202181388728</v>
      </c>
      <c r="L178" s="203">
        <f>+J178-K178</f>
        <v>-96.581522378422221</v>
      </c>
      <c r="M178" s="204">
        <f t="shared" si="48"/>
        <v>-3.0786721314504701</v>
      </c>
      <c r="N178" s="205">
        <f t="shared" si="49"/>
        <v>-99.660194509872696</v>
      </c>
      <c r="O178" s="204">
        <v>0</v>
      </c>
      <c r="P178" s="204">
        <v>0</v>
      </c>
      <c r="Q178" s="204">
        <v>0</v>
      </c>
      <c r="R178" s="205">
        <f t="shared" si="50"/>
        <v>-99.660194509872696</v>
      </c>
    </row>
    <row r="179" spans="1:18" x14ac:dyDescent="0.2">
      <c r="A179" s="124">
        <v>4</v>
      </c>
      <c r="B179" s="196">
        <f t="shared" si="45"/>
        <v>44287</v>
      </c>
      <c r="C179" s="220">
        <f t="shared" si="55"/>
        <v>44321</v>
      </c>
      <c r="D179" s="220">
        <f t="shared" si="55"/>
        <v>44340</v>
      </c>
      <c r="E179" s="54" t="s">
        <v>55</v>
      </c>
      <c r="F179" s="161">
        <v>9</v>
      </c>
      <c r="G179" s="199">
        <v>20</v>
      </c>
      <c r="H179" s="200">
        <f t="shared" si="46"/>
        <v>20.675126363367955</v>
      </c>
      <c r="I179" s="200">
        <f t="shared" si="44"/>
        <v>14.638781214716566</v>
      </c>
      <c r="J179" s="201">
        <f t="shared" si="47"/>
        <v>292.77562429433135</v>
      </c>
      <c r="K179" s="202">
        <f t="shared" si="41"/>
        <v>413.50252726735908</v>
      </c>
      <c r="L179" s="203">
        <f t="shared" ref="L179:L189" si="56">+J179-K179</f>
        <v>-120.72690297302773</v>
      </c>
      <c r="M179" s="204">
        <f t="shared" si="48"/>
        <v>-3.8483401643130879</v>
      </c>
      <c r="N179" s="205">
        <f t="shared" si="49"/>
        <v>-124.57524313734082</v>
      </c>
      <c r="O179" s="204">
        <v>0</v>
      </c>
      <c r="P179" s="204">
        <v>0</v>
      </c>
      <c r="Q179" s="204">
        <v>0</v>
      </c>
      <c r="R179" s="205">
        <f t="shared" si="50"/>
        <v>-124.57524313734082</v>
      </c>
    </row>
    <row r="180" spans="1:18" x14ac:dyDescent="0.2">
      <c r="A180" s="161">
        <v>5</v>
      </c>
      <c r="B180" s="196">
        <f t="shared" si="45"/>
        <v>44317</v>
      </c>
      <c r="C180" s="220">
        <f t="shared" si="55"/>
        <v>44350</v>
      </c>
      <c r="D180" s="220">
        <f t="shared" si="55"/>
        <v>44371</v>
      </c>
      <c r="E180" s="54" t="s">
        <v>55</v>
      </c>
      <c r="F180" s="161">
        <v>9</v>
      </c>
      <c r="G180" s="199">
        <v>27</v>
      </c>
      <c r="H180" s="200">
        <f t="shared" si="46"/>
        <v>20.675126363367955</v>
      </c>
      <c r="I180" s="200">
        <f t="shared" ref="I180:I211" si="57">$J$3</f>
        <v>14.638781214716566</v>
      </c>
      <c r="J180" s="201">
        <f t="shared" si="47"/>
        <v>395.24709279734731</v>
      </c>
      <c r="K180" s="202">
        <f t="shared" si="41"/>
        <v>558.22841181093474</v>
      </c>
      <c r="L180" s="203">
        <f t="shared" si="56"/>
        <v>-162.98131901358744</v>
      </c>
      <c r="M180" s="204">
        <f t="shared" si="48"/>
        <v>-5.1952592218226687</v>
      </c>
      <c r="N180" s="205">
        <f t="shared" si="49"/>
        <v>-168.17657823541012</v>
      </c>
      <c r="O180" s="204">
        <v>0</v>
      </c>
      <c r="P180" s="204">
        <v>0</v>
      </c>
      <c r="Q180" s="204">
        <v>0</v>
      </c>
      <c r="R180" s="205">
        <f t="shared" si="50"/>
        <v>-168.17657823541012</v>
      </c>
    </row>
    <row r="181" spans="1:18" x14ac:dyDescent="0.2">
      <c r="A181" s="161">
        <v>6</v>
      </c>
      <c r="B181" s="196">
        <f t="shared" si="45"/>
        <v>44348</v>
      </c>
      <c r="C181" s="220">
        <f t="shared" si="55"/>
        <v>44383</v>
      </c>
      <c r="D181" s="220">
        <f t="shared" si="55"/>
        <v>44401</v>
      </c>
      <c r="E181" s="54" t="s">
        <v>55</v>
      </c>
      <c r="F181" s="161">
        <v>9</v>
      </c>
      <c r="G181" s="199">
        <v>32</v>
      </c>
      <c r="H181" s="200">
        <f t="shared" si="46"/>
        <v>20.675126363367955</v>
      </c>
      <c r="I181" s="200">
        <f t="shared" si="57"/>
        <v>14.638781214716566</v>
      </c>
      <c r="J181" s="201">
        <f t="shared" si="47"/>
        <v>468.44099887093012</v>
      </c>
      <c r="K181" s="202">
        <f t="shared" si="41"/>
        <v>661.60404362777456</v>
      </c>
      <c r="L181" s="207">
        <f t="shared" si="56"/>
        <v>-193.16304475684444</v>
      </c>
      <c r="M181" s="204">
        <f t="shared" si="48"/>
        <v>-6.1573442629009403</v>
      </c>
      <c r="N181" s="205">
        <f t="shared" si="49"/>
        <v>-199.32038901974539</v>
      </c>
      <c r="O181" s="204">
        <v>0</v>
      </c>
      <c r="P181" s="204">
        <v>0</v>
      </c>
      <c r="Q181" s="204">
        <v>0</v>
      </c>
      <c r="R181" s="205">
        <f t="shared" si="50"/>
        <v>-199.32038901974539</v>
      </c>
    </row>
    <row r="182" spans="1:18" x14ac:dyDescent="0.2">
      <c r="A182" s="124">
        <v>7</v>
      </c>
      <c r="B182" s="196">
        <f t="shared" si="45"/>
        <v>44378</v>
      </c>
      <c r="C182" s="220">
        <f t="shared" si="55"/>
        <v>44412</v>
      </c>
      <c r="D182" s="220">
        <f t="shared" si="55"/>
        <v>44432</v>
      </c>
      <c r="E182" s="54" t="s">
        <v>55</v>
      </c>
      <c r="F182" s="161">
        <v>9</v>
      </c>
      <c r="G182" s="199">
        <v>37</v>
      </c>
      <c r="H182" s="200">
        <f t="shared" si="46"/>
        <v>20.675126363367955</v>
      </c>
      <c r="I182" s="200">
        <f t="shared" si="57"/>
        <v>14.638781214716566</v>
      </c>
      <c r="J182" s="201">
        <f t="shared" si="47"/>
        <v>541.63490494451298</v>
      </c>
      <c r="K182" s="208">
        <f t="shared" si="41"/>
        <v>764.97967544461437</v>
      </c>
      <c r="L182" s="207">
        <f t="shared" si="56"/>
        <v>-223.34477050010139</v>
      </c>
      <c r="M182" s="204">
        <f t="shared" si="48"/>
        <v>-7.1194293039792127</v>
      </c>
      <c r="N182" s="205">
        <f t="shared" si="49"/>
        <v>-230.46419980408061</v>
      </c>
      <c r="O182" s="204">
        <v>0</v>
      </c>
      <c r="P182" s="204">
        <v>0</v>
      </c>
      <c r="Q182" s="204">
        <v>0</v>
      </c>
      <c r="R182" s="205">
        <f t="shared" si="50"/>
        <v>-230.46419980408061</v>
      </c>
    </row>
    <row r="183" spans="1:18" x14ac:dyDescent="0.2">
      <c r="A183" s="161">
        <v>8</v>
      </c>
      <c r="B183" s="196">
        <f t="shared" si="45"/>
        <v>44409</v>
      </c>
      <c r="C183" s="220">
        <f t="shared" si="55"/>
        <v>44442</v>
      </c>
      <c r="D183" s="220">
        <f t="shared" si="55"/>
        <v>44463</v>
      </c>
      <c r="E183" s="54" t="s">
        <v>55</v>
      </c>
      <c r="F183" s="161">
        <v>9</v>
      </c>
      <c r="G183" s="199">
        <v>33</v>
      </c>
      <c r="H183" s="200">
        <f t="shared" si="46"/>
        <v>20.675126363367955</v>
      </c>
      <c r="I183" s="200">
        <f t="shared" si="57"/>
        <v>14.638781214716566</v>
      </c>
      <c r="J183" s="201">
        <f t="shared" si="47"/>
        <v>483.07978008564669</v>
      </c>
      <c r="K183" s="208">
        <f t="shared" si="41"/>
        <v>682.27916999114257</v>
      </c>
      <c r="L183" s="207">
        <f t="shared" si="56"/>
        <v>-199.19938990549588</v>
      </c>
      <c r="M183" s="204">
        <f t="shared" si="48"/>
        <v>-6.3497612711165949</v>
      </c>
      <c r="N183" s="205">
        <f t="shared" si="49"/>
        <v>-205.54915117661247</v>
      </c>
      <c r="O183" s="204">
        <v>0</v>
      </c>
      <c r="P183" s="204">
        <v>0</v>
      </c>
      <c r="Q183" s="204">
        <v>0</v>
      </c>
      <c r="R183" s="205">
        <f t="shared" si="50"/>
        <v>-205.54915117661247</v>
      </c>
    </row>
    <row r="184" spans="1:18" x14ac:dyDescent="0.2">
      <c r="A184" s="161">
        <v>9</v>
      </c>
      <c r="B184" s="196">
        <f t="shared" si="45"/>
        <v>44440</v>
      </c>
      <c r="C184" s="220">
        <f t="shared" si="55"/>
        <v>44474</v>
      </c>
      <c r="D184" s="220">
        <f t="shared" si="55"/>
        <v>44494</v>
      </c>
      <c r="E184" s="54" t="s">
        <v>55</v>
      </c>
      <c r="F184" s="161">
        <v>9</v>
      </c>
      <c r="G184" s="199">
        <v>37</v>
      </c>
      <c r="H184" s="200">
        <f t="shared" si="46"/>
        <v>20.675126363367955</v>
      </c>
      <c r="I184" s="200">
        <f t="shared" si="57"/>
        <v>14.638781214716566</v>
      </c>
      <c r="J184" s="201">
        <f t="shared" si="47"/>
        <v>541.63490494451298</v>
      </c>
      <c r="K184" s="208">
        <f t="shared" si="41"/>
        <v>764.97967544461437</v>
      </c>
      <c r="L184" s="207">
        <f t="shared" si="56"/>
        <v>-223.34477050010139</v>
      </c>
      <c r="M184" s="204">
        <f t="shared" si="48"/>
        <v>-7.1194293039792127</v>
      </c>
      <c r="N184" s="205">
        <f t="shared" si="49"/>
        <v>-230.46419980408061</v>
      </c>
      <c r="O184" s="204">
        <v>0</v>
      </c>
      <c r="P184" s="204">
        <v>0</v>
      </c>
      <c r="Q184" s="204">
        <v>0</v>
      </c>
      <c r="R184" s="205">
        <f t="shared" si="50"/>
        <v>-230.46419980408061</v>
      </c>
    </row>
    <row r="185" spans="1:18" x14ac:dyDescent="0.2">
      <c r="A185" s="124">
        <v>10</v>
      </c>
      <c r="B185" s="196">
        <f t="shared" si="45"/>
        <v>44470</v>
      </c>
      <c r="C185" s="220">
        <f t="shared" si="55"/>
        <v>44503</v>
      </c>
      <c r="D185" s="220">
        <f t="shared" si="55"/>
        <v>44524</v>
      </c>
      <c r="E185" s="54" t="s">
        <v>55</v>
      </c>
      <c r="F185" s="161">
        <v>9</v>
      </c>
      <c r="G185" s="199">
        <v>27</v>
      </c>
      <c r="H185" s="200">
        <f t="shared" si="46"/>
        <v>20.675126363367955</v>
      </c>
      <c r="I185" s="200">
        <f t="shared" si="57"/>
        <v>14.638781214716566</v>
      </c>
      <c r="J185" s="201">
        <f t="shared" si="47"/>
        <v>395.24709279734731</v>
      </c>
      <c r="K185" s="208">
        <f t="shared" si="41"/>
        <v>558.22841181093474</v>
      </c>
      <c r="L185" s="207">
        <f t="shared" si="56"/>
        <v>-162.98131901358744</v>
      </c>
      <c r="M185" s="204">
        <f t="shared" si="48"/>
        <v>-5.1952592218226687</v>
      </c>
      <c r="N185" s="205">
        <f t="shared" si="49"/>
        <v>-168.17657823541012</v>
      </c>
      <c r="O185" s="204">
        <v>0</v>
      </c>
      <c r="P185" s="204">
        <v>0</v>
      </c>
      <c r="Q185" s="204">
        <v>0</v>
      </c>
      <c r="R185" s="205">
        <f t="shared" si="50"/>
        <v>-168.17657823541012</v>
      </c>
    </row>
    <row r="186" spans="1:18" x14ac:dyDescent="0.2">
      <c r="A186" s="161">
        <v>11</v>
      </c>
      <c r="B186" s="196">
        <f t="shared" si="45"/>
        <v>44501</v>
      </c>
      <c r="C186" s="220">
        <f t="shared" si="55"/>
        <v>44533</v>
      </c>
      <c r="D186" s="220">
        <f t="shared" si="55"/>
        <v>44557</v>
      </c>
      <c r="E186" s="54" t="s">
        <v>55</v>
      </c>
      <c r="F186" s="161">
        <v>9</v>
      </c>
      <c r="G186" s="199">
        <v>16</v>
      </c>
      <c r="H186" s="200">
        <f t="shared" si="46"/>
        <v>20.675126363367955</v>
      </c>
      <c r="I186" s="200">
        <f t="shared" si="57"/>
        <v>14.638781214716566</v>
      </c>
      <c r="J186" s="201">
        <f t="shared" si="47"/>
        <v>234.22049943546506</v>
      </c>
      <c r="K186" s="208">
        <f t="shared" si="41"/>
        <v>330.80202181388728</v>
      </c>
      <c r="L186" s="207">
        <f t="shared" si="56"/>
        <v>-96.581522378422221</v>
      </c>
      <c r="M186" s="204">
        <f t="shared" si="48"/>
        <v>-3.0786721314504701</v>
      </c>
      <c r="N186" s="205">
        <f t="shared" si="49"/>
        <v>-99.660194509872696</v>
      </c>
      <c r="O186" s="204">
        <v>0</v>
      </c>
      <c r="P186" s="204">
        <v>0</v>
      </c>
      <c r="Q186" s="204">
        <v>0</v>
      </c>
      <c r="R186" s="205">
        <f t="shared" si="50"/>
        <v>-99.660194509872696</v>
      </c>
    </row>
    <row r="187" spans="1:18" s="224" customFormat="1" x14ac:dyDescent="0.2">
      <c r="A187" s="161">
        <v>12</v>
      </c>
      <c r="B187" s="222">
        <f t="shared" si="45"/>
        <v>44531</v>
      </c>
      <c r="C187" s="220">
        <f t="shared" si="55"/>
        <v>44566</v>
      </c>
      <c r="D187" s="220">
        <f t="shared" si="55"/>
        <v>44585</v>
      </c>
      <c r="E187" s="223" t="s">
        <v>55</v>
      </c>
      <c r="F187" s="172">
        <v>9</v>
      </c>
      <c r="G187" s="211">
        <v>19</v>
      </c>
      <c r="H187" s="212">
        <f t="shared" si="46"/>
        <v>20.675126363367955</v>
      </c>
      <c r="I187" s="212">
        <f t="shared" si="57"/>
        <v>14.638781214716566</v>
      </c>
      <c r="J187" s="213">
        <f t="shared" si="47"/>
        <v>278.13684307961478</v>
      </c>
      <c r="K187" s="214">
        <f t="shared" si="41"/>
        <v>392.82740090399113</v>
      </c>
      <c r="L187" s="215">
        <f t="shared" si="56"/>
        <v>-114.69055782437636</v>
      </c>
      <c r="M187" s="204">
        <f t="shared" si="48"/>
        <v>-3.6559231560974337</v>
      </c>
      <c r="N187" s="205">
        <f t="shared" si="49"/>
        <v>-118.34648098047379</v>
      </c>
      <c r="O187" s="204">
        <v>0</v>
      </c>
      <c r="P187" s="204">
        <v>0</v>
      </c>
      <c r="Q187" s="204">
        <v>0</v>
      </c>
      <c r="R187" s="205">
        <f t="shared" si="50"/>
        <v>-118.34648098047379</v>
      </c>
    </row>
    <row r="188" spans="1:18" x14ac:dyDescent="0.2">
      <c r="A188" s="124">
        <v>1</v>
      </c>
      <c r="B188" s="196">
        <f t="shared" si="45"/>
        <v>44197</v>
      </c>
      <c r="C188" s="217">
        <f t="shared" ref="C188:D211" si="58">+C176</f>
        <v>44230</v>
      </c>
      <c r="D188" s="217">
        <f t="shared" si="58"/>
        <v>44251</v>
      </c>
      <c r="E188" s="198" t="s">
        <v>56</v>
      </c>
      <c r="F188" s="124">
        <v>9</v>
      </c>
      <c r="G188" s="199">
        <v>35</v>
      </c>
      <c r="H188" s="200">
        <f t="shared" si="46"/>
        <v>20.675126363367955</v>
      </c>
      <c r="I188" s="200">
        <f t="shared" si="57"/>
        <v>14.638781214716566</v>
      </c>
      <c r="J188" s="201">
        <f t="shared" si="47"/>
        <v>512.35734251507984</v>
      </c>
      <c r="K188" s="202">
        <f t="shared" si="41"/>
        <v>723.62942271787847</v>
      </c>
      <c r="L188" s="203">
        <f t="shared" si="56"/>
        <v>-211.27208020279863</v>
      </c>
      <c r="M188" s="204">
        <f t="shared" si="48"/>
        <v>-6.7345952875479043</v>
      </c>
      <c r="N188" s="205">
        <f t="shared" si="49"/>
        <v>-218.00667549034654</v>
      </c>
      <c r="O188" s="204">
        <v>0</v>
      </c>
      <c r="P188" s="204">
        <v>0</v>
      </c>
      <c r="Q188" s="204">
        <v>0</v>
      </c>
      <c r="R188" s="205">
        <f t="shared" si="50"/>
        <v>-218.00667549034654</v>
      </c>
    </row>
    <row r="189" spans="1:18" x14ac:dyDescent="0.2">
      <c r="A189" s="161">
        <v>2</v>
      </c>
      <c r="B189" s="196">
        <f t="shared" si="45"/>
        <v>44228</v>
      </c>
      <c r="C189" s="220">
        <f t="shared" si="58"/>
        <v>44258</v>
      </c>
      <c r="D189" s="220">
        <f t="shared" si="58"/>
        <v>44279</v>
      </c>
      <c r="E189" s="206" t="s">
        <v>56</v>
      </c>
      <c r="F189" s="161">
        <v>9</v>
      </c>
      <c r="G189" s="199">
        <v>33</v>
      </c>
      <c r="H189" s="200">
        <f t="shared" si="46"/>
        <v>20.675126363367955</v>
      </c>
      <c r="I189" s="200">
        <f t="shared" si="57"/>
        <v>14.638781214716566</v>
      </c>
      <c r="J189" s="201">
        <f t="shared" si="47"/>
        <v>483.07978008564669</v>
      </c>
      <c r="K189" s="202">
        <f t="shared" si="41"/>
        <v>682.27916999114257</v>
      </c>
      <c r="L189" s="203">
        <f t="shared" si="56"/>
        <v>-199.19938990549588</v>
      </c>
      <c r="M189" s="204">
        <f t="shared" si="48"/>
        <v>-6.3497612711165949</v>
      </c>
      <c r="N189" s="205">
        <f t="shared" si="49"/>
        <v>-205.54915117661247</v>
      </c>
      <c r="O189" s="204">
        <v>0</v>
      </c>
      <c r="P189" s="204">
        <v>0</v>
      </c>
      <c r="Q189" s="204">
        <v>0</v>
      </c>
      <c r="R189" s="205">
        <f t="shared" si="50"/>
        <v>-205.54915117661247</v>
      </c>
    </row>
    <row r="190" spans="1:18" x14ac:dyDescent="0.2">
      <c r="A190" s="161">
        <v>3</v>
      </c>
      <c r="B190" s="196">
        <f t="shared" si="45"/>
        <v>44256</v>
      </c>
      <c r="C190" s="220">
        <f t="shared" si="58"/>
        <v>44291</v>
      </c>
      <c r="D190" s="220">
        <f t="shared" si="58"/>
        <v>44312</v>
      </c>
      <c r="E190" s="206" t="s">
        <v>56</v>
      </c>
      <c r="F190" s="161">
        <v>9</v>
      </c>
      <c r="G190" s="199">
        <v>30</v>
      </c>
      <c r="H190" s="200">
        <f t="shared" si="46"/>
        <v>20.675126363367955</v>
      </c>
      <c r="I190" s="200">
        <f t="shared" si="57"/>
        <v>14.638781214716566</v>
      </c>
      <c r="J190" s="201">
        <f t="shared" si="47"/>
        <v>439.16343644149697</v>
      </c>
      <c r="K190" s="202">
        <f t="shared" si="41"/>
        <v>620.25379090103866</v>
      </c>
      <c r="L190" s="203">
        <f>+J190-K190</f>
        <v>-181.09035445954169</v>
      </c>
      <c r="M190" s="204">
        <f t="shared" si="48"/>
        <v>-5.7725102464696318</v>
      </c>
      <c r="N190" s="205">
        <f t="shared" si="49"/>
        <v>-186.86286470601132</v>
      </c>
      <c r="O190" s="204">
        <v>0</v>
      </c>
      <c r="P190" s="204">
        <v>0</v>
      </c>
      <c r="Q190" s="204">
        <v>0</v>
      </c>
      <c r="R190" s="205">
        <f t="shared" si="50"/>
        <v>-186.86286470601132</v>
      </c>
    </row>
    <row r="191" spans="1:18" x14ac:dyDescent="0.2">
      <c r="A191" s="124">
        <v>4</v>
      </c>
      <c r="B191" s="196">
        <f t="shared" si="45"/>
        <v>44287</v>
      </c>
      <c r="C191" s="220">
        <f t="shared" si="58"/>
        <v>44321</v>
      </c>
      <c r="D191" s="220">
        <f t="shared" si="58"/>
        <v>44340</v>
      </c>
      <c r="E191" s="54" t="s">
        <v>56</v>
      </c>
      <c r="F191" s="161">
        <v>9</v>
      </c>
      <c r="G191" s="199">
        <v>32</v>
      </c>
      <c r="H191" s="200">
        <f t="shared" si="46"/>
        <v>20.675126363367955</v>
      </c>
      <c r="I191" s="200">
        <f t="shared" si="57"/>
        <v>14.638781214716566</v>
      </c>
      <c r="J191" s="201">
        <f t="shared" si="47"/>
        <v>468.44099887093012</v>
      </c>
      <c r="K191" s="202">
        <f t="shared" si="41"/>
        <v>661.60404362777456</v>
      </c>
      <c r="L191" s="203">
        <f t="shared" ref="L191:L201" si="59">+J191-K191</f>
        <v>-193.16304475684444</v>
      </c>
      <c r="M191" s="204">
        <f t="shared" si="48"/>
        <v>-6.1573442629009403</v>
      </c>
      <c r="N191" s="205">
        <f t="shared" si="49"/>
        <v>-199.32038901974539</v>
      </c>
      <c r="O191" s="204">
        <v>0</v>
      </c>
      <c r="P191" s="204">
        <v>0</v>
      </c>
      <c r="Q191" s="204">
        <v>0</v>
      </c>
      <c r="R191" s="205">
        <f t="shared" si="50"/>
        <v>-199.32038901974539</v>
      </c>
    </row>
    <row r="192" spans="1:18" x14ac:dyDescent="0.2">
      <c r="A192" s="161">
        <v>5</v>
      </c>
      <c r="B192" s="196">
        <f t="shared" si="45"/>
        <v>44317</v>
      </c>
      <c r="C192" s="220">
        <f t="shared" si="58"/>
        <v>44350</v>
      </c>
      <c r="D192" s="220">
        <f t="shared" si="58"/>
        <v>44371</v>
      </c>
      <c r="E192" s="54" t="s">
        <v>56</v>
      </c>
      <c r="F192" s="161">
        <v>9</v>
      </c>
      <c r="G192" s="199">
        <v>40</v>
      </c>
      <c r="H192" s="200">
        <f t="shared" si="46"/>
        <v>20.675126363367955</v>
      </c>
      <c r="I192" s="200">
        <f t="shared" si="57"/>
        <v>14.638781214716566</v>
      </c>
      <c r="J192" s="201">
        <f t="shared" si="47"/>
        <v>585.5512485886627</v>
      </c>
      <c r="K192" s="202">
        <f t="shared" si="41"/>
        <v>827.00505453471817</v>
      </c>
      <c r="L192" s="203">
        <f t="shared" si="59"/>
        <v>-241.45380594605547</v>
      </c>
      <c r="M192" s="204">
        <f t="shared" si="48"/>
        <v>-7.6966803286261758</v>
      </c>
      <c r="N192" s="205">
        <f t="shared" si="49"/>
        <v>-249.15048627468164</v>
      </c>
      <c r="O192" s="204">
        <v>0</v>
      </c>
      <c r="P192" s="204">
        <v>0</v>
      </c>
      <c r="Q192" s="204">
        <v>0</v>
      </c>
      <c r="R192" s="205">
        <f t="shared" si="50"/>
        <v>-249.15048627468164</v>
      </c>
    </row>
    <row r="193" spans="1:18" x14ac:dyDescent="0.2">
      <c r="A193" s="161">
        <v>6</v>
      </c>
      <c r="B193" s="196">
        <f t="shared" si="45"/>
        <v>44348</v>
      </c>
      <c r="C193" s="220">
        <f t="shared" si="58"/>
        <v>44383</v>
      </c>
      <c r="D193" s="220">
        <f t="shared" si="58"/>
        <v>44401</v>
      </c>
      <c r="E193" s="54" t="s">
        <v>56</v>
      </c>
      <c r="F193" s="161">
        <v>9</v>
      </c>
      <c r="G193" s="199">
        <v>46</v>
      </c>
      <c r="H193" s="200">
        <f t="shared" si="46"/>
        <v>20.675126363367955</v>
      </c>
      <c r="I193" s="200">
        <f t="shared" si="57"/>
        <v>14.638781214716566</v>
      </c>
      <c r="J193" s="201">
        <f t="shared" si="47"/>
        <v>673.38393587696203</v>
      </c>
      <c r="K193" s="202">
        <f t="shared" si="41"/>
        <v>951.05581271492588</v>
      </c>
      <c r="L193" s="207">
        <f t="shared" si="59"/>
        <v>-277.67187683796385</v>
      </c>
      <c r="M193" s="204">
        <f t="shared" si="48"/>
        <v>-8.851182377920102</v>
      </c>
      <c r="N193" s="205">
        <f t="shared" si="49"/>
        <v>-286.52305921588396</v>
      </c>
      <c r="O193" s="204">
        <v>0</v>
      </c>
      <c r="P193" s="204">
        <v>0</v>
      </c>
      <c r="Q193" s="204">
        <v>0</v>
      </c>
      <c r="R193" s="205">
        <f t="shared" si="50"/>
        <v>-286.52305921588396</v>
      </c>
    </row>
    <row r="194" spans="1:18" x14ac:dyDescent="0.2">
      <c r="A194" s="124">
        <v>7</v>
      </c>
      <c r="B194" s="196">
        <f t="shared" si="45"/>
        <v>44378</v>
      </c>
      <c r="C194" s="220">
        <f t="shared" si="58"/>
        <v>44412</v>
      </c>
      <c r="D194" s="220">
        <f t="shared" si="58"/>
        <v>44432</v>
      </c>
      <c r="E194" s="54" t="s">
        <v>56</v>
      </c>
      <c r="F194" s="161">
        <v>9</v>
      </c>
      <c r="G194" s="199">
        <v>48</v>
      </c>
      <c r="H194" s="200">
        <f t="shared" si="46"/>
        <v>20.675126363367955</v>
      </c>
      <c r="I194" s="200">
        <f t="shared" si="57"/>
        <v>14.638781214716566</v>
      </c>
      <c r="J194" s="201">
        <f t="shared" si="47"/>
        <v>702.66149830639517</v>
      </c>
      <c r="K194" s="208">
        <f t="shared" si="41"/>
        <v>992.40606544166189</v>
      </c>
      <c r="L194" s="207">
        <f t="shared" si="59"/>
        <v>-289.74456713526672</v>
      </c>
      <c r="M194" s="204">
        <f t="shared" si="48"/>
        <v>-9.2360163943514113</v>
      </c>
      <c r="N194" s="205">
        <f t="shared" si="49"/>
        <v>-298.98058352961812</v>
      </c>
      <c r="O194" s="204">
        <v>0</v>
      </c>
      <c r="P194" s="204">
        <v>0</v>
      </c>
      <c r="Q194" s="204">
        <v>0</v>
      </c>
      <c r="R194" s="205">
        <f t="shared" si="50"/>
        <v>-298.98058352961812</v>
      </c>
    </row>
    <row r="195" spans="1:18" x14ac:dyDescent="0.2">
      <c r="A195" s="161">
        <v>8</v>
      </c>
      <c r="B195" s="196">
        <f t="shared" si="45"/>
        <v>44409</v>
      </c>
      <c r="C195" s="220">
        <f t="shared" si="58"/>
        <v>44442</v>
      </c>
      <c r="D195" s="220">
        <f t="shared" si="58"/>
        <v>44463</v>
      </c>
      <c r="E195" s="54" t="s">
        <v>56</v>
      </c>
      <c r="F195" s="161">
        <v>9</v>
      </c>
      <c r="G195" s="199">
        <v>50</v>
      </c>
      <c r="H195" s="200">
        <f t="shared" si="46"/>
        <v>20.675126363367955</v>
      </c>
      <c r="I195" s="200">
        <f t="shared" si="57"/>
        <v>14.638781214716566</v>
      </c>
      <c r="J195" s="201">
        <f t="shared" si="47"/>
        <v>731.93906073582832</v>
      </c>
      <c r="K195" s="208">
        <f t="shared" si="41"/>
        <v>1033.7563181683977</v>
      </c>
      <c r="L195" s="207">
        <f t="shared" si="59"/>
        <v>-301.81725743256936</v>
      </c>
      <c r="M195" s="204">
        <f t="shared" si="48"/>
        <v>-9.6208504107827206</v>
      </c>
      <c r="N195" s="205">
        <f t="shared" si="49"/>
        <v>-311.4381078433521</v>
      </c>
      <c r="O195" s="204">
        <v>0</v>
      </c>
      <c r="P195" s="204">
        <v>0</v>
      </c>
      <c r="Q195" s="204">
        <v>0</v>
      </c>
      <c r="R195" s="205">
        <f t="shared" si="50"/>
        <v>-311.4381078433521</v>
      </c>
    </row>
    <row r="196" spans="1:18" x14ac:dyDescent="0.2">
      <c r="A196" s="161">
        <v>9</v>
      </c>
      <c r="B196" s="196">
        <f t="shared" si="45"/>
        <v>44440</v>
      </c>
      <c r="C196" s="220">
        <f t="shared" si="58"/>
        <v>44474</v>
      </c>
      <c r="D196" s="220">
        <f t="shared" si="58"/>
        <v>44494</v>
      </c>
      <c r="E196" s="54" t="s">
        <v>56</v>
      </c>
      <c r="F196" s="161">
        <v>9</v>
      </c>
      <c r="G196" s="199">
        <v>52</v>
      </c>
      <c r="H196" s="200">
        <f t="shared" si="46"/>
        <v>20.675126363367955</v>
      </c>
      <c r="I196" s="200">
        <f t="shared" si="57"/>
        <v>14.638781214716566</v>
      </c>
      <c r="J196" s="201">
        <f t="shared" si="47"/>
        <v>761.21662316526147</v>
      </c>
      <c r="K196" s="208">
        <f t="shared" si="41"/>
        <v>1075.1065708951337</v>
      </c>
      <c r="L196" s="207">
        <f t="shared" si="59"/>
        <v>-313.88994772987223</v>
      </c>
      <c r="M196" s="204">
        <f t="shared" si="48"/>
        <v>-10.00568442721403</v>
      </c>
      <c r="N196" s="205">
        <f t="shared" si="49"/>
        <v>-323.89563215708625</v>
      </c>
      <c r="O196" s="204">
        <v>0</v>
      </c>
      <c r="P196" s="204">
        <v>0</v>
      </c>
      <c r="Q196" s="204">
        <v>0</v>
      </c>
      <c r="R196" s="205">
        <f t="shared" si="50"/>
        <v>-323.89563215708625</v>
      </c>
    </row>
    <row r="197" spans="1:18" x14ac:dyDescent="0.2">
      <c r="A197" s="124">
        <v>10</v>
      </c>
      <c r="B197" s="196">
        <f t="shared" si="45"/>
        <v>44470</v>
      </c>
      <c r="C197" s="220">
        <f t="shared" si="58"/>
        <v>44503</v>
      </c>
      <c r="D197" s="220">
        <f t="shared" si="58"/>
        <v>44524</v>
      </c>
      <c r="E197" s="54" t="s">
        <v>56</v>
      </c>
      <c r="F197" s="161">
        <v>9</v>
      </c>
      <c r="G197" s="199">
        <v>40</v>
      </c>
      <c r="H197" s="200">
        <f t="shared" si="46"/>
        <v>20.675126363367955</v>
      </c>
      <c r="I197" s="200">
        <f t="shared" si="57"/>
        <v>14.638781214716566</v>
      </c>
      <c r="J197" s="201">
        <f t="shared" si="47"/>
        <v>585.5512485886627</v>
      </c>
      <c r="K197" s="208">
        <f t="shared" si="41"/>
        <v>827.00505453471817</v>
      </c>
      <c r="L197" s="207">
        <f t="shared" si="59"/>
        <v>-241.45380594605547</v>
      </c>
      <c r="M197" s="204">
        <f t="shared" si="48"/>
        <v>-7.6966803286261758</v>
      </c>
      <c r="N197" s="205">
        <f t="shared" si="49"/>
        <v>-249.15048627468164</v>
      </c>
      <c r="O197" s="204">
        <v>0</v>
      </c>
      <c r="P197" s="204">
        <v>0</v>
      </c>
      <c r="Q197" s="204">
        <v>0</v>
      </c>
      <c r="R197" s="205">
        <f t="shared" si="50"/>
        <v>-249.15048627468164</v>
      </c>
    </row>
    <row r="198" spans="1:18" x14ac:dyDescent="0.2">
      <c r="A198" s="161">
        <v>11</v>
      </c>
      <c r="B198" s="196">
        <f t="shared" si="45"/>
        <v>44501</v>
      </c>
      <c r="C198" s="220">
        <f t="shared" si="58"/>
        <v>44533</v>
      </c>
      <c r="D198" s="220">
        <f t="shared" si="58"/>
        <v>44557</v>
      </c>
      <c r="E198" s="54" t="s">
        <v>56</v>
      </c>
      <c r="F198" s="161">
        <v>9</v>
      </c>
      <c r="G198" s="199">
        <v>32</v>
      </c>
      <c r="H198" s="200">
        <f t="shared" si="46"/>
        <v>20.675126363367955</v>
      </c>
      <c r="I198" s="200">
        <f t="shared" si="57"/>
        <v>14.638781214716566</v>
      </c>
      <c r="J198" s="201">
        <f t="shared" si="47"/>
        <v>468.44099887093012</v>
      </c>
      <c r="K198" s="208">
        <f t="shared" ref="K198:K209" si="60">+$G198*H198</f>
        <v>661.60404362777456</v>
      </c>
      <c r="L198" s="207">
        <f t="shared" si="59"/>
        <v>-193.16304475684444</v>
      </c>
      <c r="M198" s="204">
        <f t="shared" si="48"/>
        <v>-6.1573442629009403</v>
      </c>
      <c r="N198" s="205">
        <f t="shared" si="49"/>
        <v>-199.32038901974539</v>
      </c>
      <c r="O198" s="204">
        <v>0</v>
      </c>
      <c r="P198" s="204">
        <v>0</v>
      </c>
      <c r="Q198" s="204">
        <v>0</v>
      </c>
      <c r="R198" s="205">
        <f t="shared" si="50"/>
        <v>-199.32038901974539</v>
      </c>
    </row>
    <row r="199" spans="1:18" s="224" customFormat="1" x14ac:dyDescent="0.2">
      <c r="A199" s="161">
        <v>12</v>
      </c>
      <c r="B199" s="222">
        <f t="shared" si="45"/>
        <v>44531</v>
      </c>
      <c r="C199" s="220">
        <f t="shared" si="58"/>
        <v>44566</v>
      </c>
      <c r="D199" s="220">
        <f t="shared" si="58"/>
        <v>44585</v>
      </c>
      <c r="E199" s="223" t="s">
        <v>56</v>
      </c>
      <c r="F199" s="172">
        <v>9</v>
      </c>
      <c r="G199" s="211">
        <v>35</v>
      </c>
      <c r="H199" s="212">
        <f t="shared" si="46"/>
        <v>20.675126363367955</v>
      </c>
      <c r="I199" s="212">
        <f t="shared" si="57"/>
        <v>14.638781214716566</v>
      </c>
      <c r="J199" s="213">
        <f t="shared" si="47"/>
        <v>512.35734251507984</v>
      </c>
      <c r="K199" s="214">
        <f t="shared" si="60"/>
        <v>723.62942271787847</v>
      </c>
      <c r="L199" s="215">
        <f t="shared" si="59"/>
        <v>-211.27208020279863</v>
      </c>
      <c r="M199" s="204">
        <f t="shared" si="48"/>
        <v>-6.7345952875479043</v>
      </c>
      <c r="N199" s="205">
        <f t="shared" si="49"/>
        <v>-218.00667549034654</v>
      </c>
      <c r="O199" s="204">
        <v>0</v>
      </c>
      <c r="P199" s="204">
        <v>0</v>
      </c>
      <c r="Q199" s="204">
        <v>0</v>
      </c>
      <c r="R199" s="205">
        <f t="shared" si="50"/>
        <v>-218.00667549034654</v>
      </c>
    </row>
    <row r="200" spans="1:18" x14ac:dyDescent="0.2">
      <c r="A200" s="124">
        <v>1</v>
      </c>
      <c r="B200" s="196">
        <f t="shared" si="45"/>
        <v>44197</v>
      </c>
      <c r="C200" s="217">
        <f t="shared" si="58"/>
        <v>44230</v>
      </c>
      <c r="D200" s="217">
        <f t="shared" si="58"/>
        <v>44251</v>
      </c>
      <c r="E200" s="198" t="s">
        <v>17</v>
      </c>
      <c r="F200" s="124">
        <v>9</v>
      </c>
      <c r="G200" s="199">
        <v>94</v>
      </c>
      <c r="H200" s="200">
        <f t="shared" si="46"/>
        <v>20.675126363367955</v>
      </c>
      <c r="I200" s="200">
        <f t="shared" si="57"/>
        <v>14.638781214716566</v>
      </c>
      <c r="J200" s="201">
        <f t="shared" si="47"/>
        <v>1376.0454341833572</v>
      </c>
      <c r="K200" s="202">
        <f t="shared" si="60"/>
        <v>1943.4618781565878</v>
      </c>
      <c r="L200" s="203">
        <f t="shared" si="59"/>
        <v>-567.41644397323057</v>
      </c>
      <c r="M200" s="204">
        <f t="shared" si="48"/>
        <v>-18.087198772271513</v>
      </c>
      <c r="N200" s="205">
        <f t="shared" si="49"/>
        <v>-585.50364274550213</v>
      </c>
      <c r="O200" s="204">
        <v>0</v>
      </c>
      <c r="P200" s="204">
        <v>0</v>
      </c>
      <c r="Q200" s="204">
        <v>0</v>
      </c>
      <c r="R200" s="205">
        <f t="shared" si="50"/>
        <v>-585.50364274550213</v>
      </c>
    </row>
    <row r="201" spans="1:18" x14ac:dyDescent="0.2">
      <c r="A201" s="161">
        <v>2</v>
      </c>
      <c r="B201" s="196">
        <f t="shared" si="45"/>
        <v>44228</v>
      </c>
      <c r="C201" s="220">
        <f t="shared" si="58"/>
        <v>44258</v>
      </c>
      <c r="D201" s="220">
        <f t="shared" si="58"/>
        <v>44279</v>
      </c>
      <c r="E201" s="206" t="s">
        <v>17</v>
      </c>
      <c r="F201" s="161">
        <v>9</v>
      </c>
      <c r="G201" s="199">
        <v>100</v>
      </c>
      <c r="H201" s="200">
        <f t="shared" si="46"/>
        <v>20.675126363367955</v>
      </c>
      <c r="I201" s="200">
        <f t="shared" si="57"/>
        <v>14.638781214716566</v>
      </c>
      <c r="J201" s="201">
        <f t="shared" si="47"/>
        <v>1463.8781214716566</v>
      </c>
      <c r="K201" s="202">
        <f t="shared" si="60"/>
        <v>2067.5126363367954</v>
      </c>
      <c r="L201" s="203">
        <f t="shared" si="59"/>
        <v>-603.63451486513873</v>
      </c>
      <c r="M201" s="204">
        <f t="shared" si="48"/>
        <v>-19.241700821565441</v>
      </c>
      <c r="N201" s="205">
        <f t="shared" si="49"/>
        <v>-622.8762156867042</v>
      </c>
      <c r="O201" s="204">
        <v>0</v>
      </c>
      <c r="P201" s="204">
        <v>0</v>
      </c>
      <c r="Q201" s="204">
        <v>0</v>
      </c>
      <c r="R201" s="205">
        <f t="shared" si="50"/>
        <v>-622.8762156867042</v>
      </c>
    </row>
    <row r="202" spans="1:18" x14ac:dyDescent="0.2">
      <c r="A202" s="161">
        <v>3</v>
      </c>
      <c r="B202" s="196">
        <f t="shared" si="45"/>
        <v>44256</v>
      </c>
      <c r="C202" s="220">
        <f t="shared" si="58"/>
        <v>44291</v>
      </c>
      <c r="D202" s="220">
        <f t="shared" si="58"/>
        <v>44312</v>
      </c>
      <c r="E202" s="206" t="s">
        <v>17</v>
      </c>
      <c r="F202" s="161">
        <v>9</v>
      </c>
      <c r="G202" s="199">
        <v>101</v>
      </c>
      <c r="H202" s="200">
        <f t="shared" si="46"/>
        <v>20.675126363367955</v>
      </c>
      <c r="I202" s="200">
        <f t="shared" si="57"/>
        <v>14.638781214716566</v>
      </c>
      <c r="J202" s="201">
        <f t="shared" si="47"/>
        <v>1478.5169026863732</v>
      </c>
      <c r="K202" s="202">
        <f t="shared" si="60"/>
        <v>2088.1877627001636</v>
      </c>
      <c r="L202" s="203">
        <f>+J202-K202</f>
        <v>-609.67086001379039</v>
      </c>
      <c r="M202" s="204">
        <f t="shared" si="48"/>
        <v>-19.434117829781094</v>
      </c>
      <c r="N202" s="205">
        <f t="shared" si="49"/>
        <v>-629.10497784357153</v>
      </c>
      <c r="O202" s="204">
        <v>0</v>
      </c>
      <c r="P202" s="204">
        <v>0</v>
      </c>
      <c r="Q202" s="204">
        <v>0</v>
      </c>
      <c r="R202" s="205">
        <f t="shared" si="50"/>
        <v>-629.10497784357153</v>
      </c>
    </row>
    <row r="203" spans="1:18" x14ac:dyDescent="0.2">
      <c r="A203" s="124">
        <v>4</v>
      </c>
      <c r="B203" s="196">
        <f t="shared" si="45"/>
        <v>44287</v>
      </c>
      <c r="C203" s="220">
        <f t="shared" si="58"/>
        <v>44321</v>
      </c>
      <c r="D203" s="220">
        <f t="shared" si="58"/>
        <v>44340</v>
      </c>
      <c r="E203" s="206" t="s">
        <v>17</v>
      </c>
      <c r="F203" s="161">
        <v>9</v>
      </c>
      <c r="G203" s="199">
        <v>98</v>
      </c>
      <c r="H203" s="200">
        <f t="shared" si="46"/>
        <v>20.675126363367955</v>
      </c>
      <c r="I203" s="200">
        <f t="shared" si="57"/>
        <v>14.638781214716566</v>
      </c>
      <c r="J203" s="201">
        <f t="shared" si="47"/>
        <v>1434.6005590422235</v>
      </c>
      <c r="K203" s="202">
        <f t="shared" si="60"/>
        <v>2026.1623836100596</v>
      </c>
      <c r="L203" s="203">
        <f t="shared" ref="L203:L211" si="61">+J203-K203</f>
        <v>-591.56182456783608</v>
      </c>
      <c r="M203" s="204">
        <f t="shared" si="48"/>
        <v>-18.856866805134132</v>
      </c>
      <c r="N203" s="205">
        <f t="shared" si="49"/>
        <v>-610.41869137297022</v>
      </c>
      <c r="O203" s="204">
        <v>0</v>
      </c>
      <c r="P203" s="204">
        <v>0</v>
      </c>
      <c r="Q203" s="204">
        <v>0</v>
      </c>
      <c r="R203" s="205">
        <f t="shared" si="50"/>
        <v>-610.41869137297022</v>
      </c>
    </row>
    <row r="204" spans="1:18" x14ac:dyDescent="0.2">
      <c r="A204" s="161">
        <v>5</v>
      </c>
      <c r="B204" s="196">
        <f t="shared" si="45"/>
        <v>44317</v>
      </c>
      <c r="C204" s="220">
        <f t="shared" si="58"/>
        <v>44350</v>
      </c>
      <c r="D204" s="220">
        <f t="shared" si="58"/>
        <v>44371</v>
      </c>
      <c r="E204" s="54" t="s">
        <v>17</v>
      </c>
      <c r="F204" s="161">
        <v>9</v>
      </c>
      <c r="G204" s="199">
        <v>99</v>
      </c>
      <c r="H204" s="200">
        <f t="shared" si="46"/>
        <v>20.675126363367955</v>
      </c>
      <c r="I204" s="200">
        <f t="shared" si="57"/>
        <v>14.638781214716566</v>
      </c>
      <c r="J204" s="201">
        <f t="shared" si="47"/>
        <v>1449.2393402569401</v>
      </c>
      <c r="K204" s="202">
        <f t="shared" si="60"/>
        <v>2046.8375099734276</v>
      </c>
      <c r="L204" s="203">
        <f t="shared" si="61"/>
        <v>-597.59816971648752</v>
      </c>
      <c r="M204" s="204">
        <f t="shared" si="48"/>
        <v>-19.049283813349788</v>
      </c>
      <c r="N204" s="205">
        <f t="shared" si="49"/>
        <v>-616.64745352983732</v>
      </c>
      <c r="O204" s="204">
        <v>0</v>
      </c>
      <c r="P204" s="204">
        <v>0</v>
      </c>
      <c r="Q204" s="204">
        <v>0</v>
      </c>
      <c r="R204" s="205">
        <f t="shared" si="50"/>
        <v>-616.64745352983732</v>
      </c>
    </row>
    <row r="205" spans="1:18" x14ac:dyDescent="0.2">
      <c r="A205" s="161">
        <v>6</v>
      </c>
      <c r="B205" s="196">
        <f t="shared" si="45"/>
        <v>44348</v>
      </c>
      <c r="C205" s="220">
        <f t="shared" si="58"/>
        <v>44383</v>
      </c>
      <c r="D205" s="220">
        <f t="shared" si="58"/>
        <v>44401</v>
      </c>
      <c r="E205" s="54" t="s">
        <v>17</v>
      </c>
      <c r="F205" s="161">
        <v>9</v>
      </c>
      <c r="G205" s="199">
        <v>113</v>
      </c>
      <c r="H205" s="200">
        <f t="shared" si="46"/>
        <v>20.675126363367955</v>
      </c>
      <c r="I205" s="200">
        <f t="shared" si="57"/>
        <v>14.638781214716566</v>
      </c>
      <c r="J205" s="201">
        <f t="shared" si="47"/>
        <v>1654.1822772629719</v>
      </c>
      <c r="K205" s="202">
        <f t="shared" si="60"/>
        <v>2336.2892790605788</v>
      </c>
      <c r="L205" s="207">
        <f t="shared" si="61"/>
        <v>-682.10700179760693</v>
      </c>
      <c r="M205" s="204">
        <f t="shared" si="48"/>
        <v>-21.743121928368947</v>
      </c>
      <c r="N205" s="205">
        <f t="shared" si="49"/>
        <v>-703.85012372597589</v>
      </c>
      <c r="O205" s="204">
        <v>0</v>
      </c>
      <c r="P205" s="204">
        <v>0</v>
      </c>
      <c r="Q205" s="204">
        <v>0</v>
      </c>
      <c r="R205" s="205">
        <f t="shared" si="50"/>
        <v>-703.85012372597589</v>
      </c>
    </row>
    <row r="206" spans="1:18" x14ac:dyDescent="0.2">
      <c r="A206" s="124">
        <v>7</v>
      </c>
      <c r="B206" s="196">
        <f t="shared" si="45"/>
        <v>44378</v>
      </c>
      <c r="C206" s="220">
        <f t="shared" si="58"/>
        <v>44412</v>
      </c>
      <c r="D206" s="220">
        <f t="shared" si="58"/>
        <v>44432</v>
      </c>
      <c r="E206" s="54" t="s">
        <v>17</v>
      </c>
      <c r="F206" s="161">
        <v>9</v>
      </c>
      <c r="G206" s="199">
        <v>116</v>
      </c>
      <c r="H206" s="200">
        <f t="shared" si="46"/>
        <v>20.675126363367955</v>
      </c>
      <c r="I206" s="200">
        <f t="shared" si="57"/>
        <v>14.638781214716566</v>
      </c>
      <c r="J206" s="201">
        <f t="shared" si="47"/>
        <v>1698.0986209071216</v>
      </c>
      <c r="K206" s="208">
        <f t="shared" si="60"/>
        <v>2398.3146581506826</v>
      </c>
      <c r="L206" s="207">
        <f t="shared" si="61"/>
        <v>-700.216037243561</v>
      </c>
      <c r="M206" s="204">
        <f t="shared" si="48"/>
        <v>-22.320372953015909</v>
      </c>
      <c r="N206" s="205">
        <f t="shared" si="49"/>
        <v>-722.53641019657687</v>
      </c>
      <c r="O206" s="204">
        <v>0</v>
      </c>
      <c r="P206" s="204">
        <v>0</v>
      </c>
      <c r="Q206" s="204">
        <v>0</v>
      </c>
      <c r="R206" s="205">
        <f t="shared" si="50"/>
        <v>-722.53641019657687</v>
      </c>
    </row>
    <row r="207" spans="1:18" x14ac:dyDescent="0.2">
      <c r="A207" s="161">
        <v>8</v>
      </c>
      <c r="B207" s="196">
        <f t="shared" si="45"/>
        <v>44409</v>
      </c>
      <c r="C207" s="220">
        <f t="shared" si="58"/>
        <v>44442</v>
      </c>
      <c r="D207" s="220">
        <f t="shared" si="58"/>
        <v>44463</v>
      </c>
      <c r="E207" s="54" t="s">
        <v>17</v>
      </c>
      <c r="F207" s="161">
        <v>9</v>
      </c>
      <c r="G207" s="199">
        <v>116</v>
      </c>
      <c r="H207" s="200">
        <f t="shared" si="46"/>
        <v>20.675126363367955</v>
      </c>
      <c r="I207" s="200">
        <f t="shared" si="57"/>
        <v>14.638781214716566</v>
      </c>
      <c r="J207" s="201">
        <f t="shared" si="47"/>
        <v>1698.0986209071216</v>
      </c>
      <c r="K207" s="208">
        <f t="shared" si="60"/>
        <v>2398.3146581506826</v>
      </c>
      <c r="L207" s="207">
        <f t="shared" si="61"/>
        <v>-700.216037243561</v>
      </c>
      <c r="M207" s="204">
        <f t="shared" si="48"/>
        <v>-22.320372953015909</v>
      </c>
      <c r="N207" s="205">
        <f t="shared" si="49"/>
        <v>-722.53641019657687</v>
      </c>
      <c r="O207" s="204">
        <v>0</v>
      </c>
      <c r="P207" s="204">
        <v>0</v>
      </c>
      <c r="Q207" s="204">
        <v>0</v>
      </c>
      <c r="R207" s="205">
        <f t="shared" si="50"/>
        <v>-722.53641019657687</v>
      </c>
    </row>
    <row r="208" spans="1:18" x14ac:dyDescent="0.2">
      <c r="A208" s="161">
        <v>9</v>
      </c>
      <c r="B208" s="196">
        <f t="shared" si="45"/>
        <v>44440</v>
      </c>
      <c r="C208" s="220">
        <f t="shared" si="58"/>
        <v>44474</v>
      </c>
      <c r="D208" s="220">
        <f t="shared" si="58"/>
        <v>44494</v>
      </c>
      <c r="E208" s="54" t="s">
        <v>17</v>
      </c>
      <c r="F208" s="161">
        <v>9</v>
      </c>
      <c r="G208" s="199">
        <v>116</v>
      </c>
      <c r="H208" s="200">
        <f t="shared" si="46"/>
        <v>20.675126363367955</v>
      </c>
      <c r="I208" s="200">
        <f t="shared" si="57"/>
        <v>14.638781214716566</v>
      </c>
      <c r="J208" s="201">
        <f t="shared" si="47"/>
        <v>1698.0986209071216</v>
      </c>
      <c r="K208" s="208">
        <f t="shared" si="60"/>
        <v>2398.3146581506826</v>
      </c>
      <c r="L208" s="207">
        <f t="shared" si="61"/>
        <v>-700.216037243561</v>
      </c>
      <c r="M208" s="204">
        <f t="shared" si="48"/>
        <v>-22.320372953015909</v>
      </c>
      <c r="N208" s="205">
        <f t="shared" si="49"/>
        <v>-722.53641019657687</v>
      </c>
      <c r="O208" s="204">
        <v>0</v>
      </c>
      <c r="P208" s="204">
        <v>0</v>
      </c>
      <c r="Q208" s="204">
        <v>0</v>
      </c>
      <c r="R208" s="205">
        <f t="shared" si="50"/>
        <v>-722.53641019657687</v>
      </c>
    </row>
    <row r="209" spans="1:18" x14ac:dyDescent="0.2">
      <c r="A209" s="124">
        <v>10</v>
      </c>
      <c r="B209" s="196">
        <f t="shared" si="45"/>
        <v>44470</v>
      </c>
      <c r="C209" s="220">
        <f t="shared" si="58"/>
        <v>44503</v>
      </c>
      <c r="D209" s="220">
        <f t="shared" si="58"/>
        <v>44524</v>
      </c>
      <c r="E209" s="54" t="s">
        <v>17</v>
      </c>
      <c r="F209" s="161">
        <v>9</v>
      </c>
      <c r="G209" s="199">
        <v>105</v>
      </c>
      <c r="H209" s="200">
        <f t="shared" si="46"/>
        <v>20.675126363367955</v>
      </c>
      <c r="I209" s="200">
        <f t="shared" si="57"/>
        <v>14.638781214716566</v>
      </c>
      <c r="J209" s="201">
        <f t="shared" si="47"/>
        <v>1537.0720275452395</v>
      </c>
      <c r="K209" s="208">
        <f t="shared" si="60"/>
        <v>2170.8882681536352</v>
      </c>
      <c r="L209" s="207">
        <f t="shared" si="61"/>
        <v>-633.81624060839567</v>
      </c>
      <c r="M209" s="204">
        <f t="shared" si="48"/>
        <v>-20.203785862643713</v>
      </c>
      <c r="N209" s="205">
        <f t="shared" si="49"/>
        <v>-654.02002647103939</v>
      </c>
      <c r="O209" s="204">
        <v>0</v>
      </c>
      <c r="P209" s="204">
        <v>0</v>
      </c>
      <c r="Q209" s="204">
        <v>0</v>
      </c>
      <c r="R209" s="205">
        <f t="shared" si="50"/>
        <v>-654.02002647103939</v>
      </c>
    </row>
    <row r="210" spans="1:18" x14ac:dyDescent="0.2">
      <c r="A210" s="161">
        <v>11</v>
      </c>
      <c r="B210" s="196">
        <f t="shared" si="45"/>
        <v>44501</v>
      </c>
      <c r="C210" s="220">
        <f t="shared" si="58"/>
        <v>44533</v>
      </c>
      <c r="D210" s="220">
        <f t="shared" si="58"/>
        <v>44557</v>
      </c>
      <c r="E210" s="54" t="s">
        <v>17</v>
      </c>
      <c r="F210" s="161">
        <v>9</v>
      </c>
      <c r="G210" s="199">
        <v>100</v>
      </c>
      <c r="H210" s="200">
        <f t="shared" si="46"/>
        <v>20.675126363367955</v>
      </c>
      <c r="I210" s="200">
        <f t="shared" si="57"/>
        <v>14.638781214716566</v>
      </c>
      <c r="J210" s="201">
        <f t="shared" si="47"/>
        <v>1463.8781214716566</v>
      </c>
      <c r="K210" s="208">
        <f>+$G210*H210</f>
        <v>2067.5126363367954</v>
      </c>
      <c r="L210" s="207">
        <f t="shared" si="61"/>
        <v>-603.63451486513873</v>
      </c>
      <c r="M210" s="204">
        <f t="shared" si="48"/>
        <v>-19.241700821565441</v>
      </c>
      <c r="N210" s="205">
        <f t="shared" si="49"/>
        <v>-622.8762156867042</v>
      </c>
      <c r="O210" s="204">
        <v>0</v>
      </c>
      <c r="P210" s="204">
        <v>0</v>
      </c>
      <c r="Q210" s="204">
        <v>0</v>
      </c>
      <c r="R210" s="205">
        <f t="shared" si="50"/>
        <v>-622.8762156867042</v>
      </c>
    </row>
    <row r="211" spans="1:18" s="224" customFormat="1" x14ac:dyDescent="0.2">
      <c r="A211" s="161">
        <v>12</v>
      </c>
      <c r="B211" s="222">
        <f t="shared" si="45"/>
        <v>44531</v>
      </c>
      <c r="C211" s="225">
        <f t="shared" si="58"/>
        <v>44566</v>
      </c>
      <c r="D211" s="225">
        <f t="shared" si="58"/>
        <v>44585</v>
      </c>
      <c r="E211" s="223" t="s">
        <v>17</v>
      </c>
      <c r="F211" s="172">
        <v>9</v>
      </c>
      <c r="G211" s="211">
        <v>103</v>
      </c>
      <c r="H211" s="212">
        <f t="shared" si="46"/>
        <v>20.675126363367955</v>
      </c>
      <c r="I211" s="212">
        <f t="shared" si="57"/>
        <v>14.638781214716566</v>
      </c>
      <c r="J211" s="213">
        <f t="shared" si="47"/>
        <v>1507.7944651158064</v>
      </c>
      <c r="K211" s="214">
        <f>+$G211*H211</f>
        <v>2129.5380154268992</v>
      </c>
      <c r="L211" s="215">
        <f t="shared" si="61"/>
        <v>-621.7435503110928</v>
      </c>
      <c r="M211" s="213">
        <f t="shared" si="48"/>
        <v>-19.818951846212403</v>
      </c>
      <c r="N211" s="205">
        <f t="shared" si="49"/>
        <v>-641.56250215730518</v>
      </c>
      <c r="O211" s="204">
        <v>0</v>
      </c>
      <c r="P211" s="204">
        <v>0</v>
      </c>
      <c r="Q211" s="204">
        <v>0</v>
      </c>
      <c r="R211" s="205">
        <f t="shared" si="50"/>
        <v>-641.56250215730518</v>
      </c>
    </row>
    <row r="212" spans="1:18" x14ac:dyDescent="0.2">
      <c r="G212" s="230">
        <f>SUM(G20:G211)</f>
        <v>98311</v>
      </c>
      <c r="H212" s="51"/>
      <c r="I212" s="51"/>
      <c r="J212" s="51">
        <f>SUM(J20:J211)</f>
        <v>1439153.2200000023</v>
      </c>
      <c r="K212" s="51">
        <f>SUM(K20:K211)</f>
        <v>2032592.3479090685</v>
      </c>
      <c r="L212" s="51">
        <f>SUM(L20:L211)</f>
        <v>-593439.12790906709</v>
      </c>
      <c r="M212" s="51">
        <f>SUM(M20:M211)</f>
        <v>-18916.708494689217</v>
      </c>
      <c r="N212" s="51"/>
      <c r="O212" s="51"/>
      <c r="P212" s="51">
        <f>SUM(P20:P211)</f>
        <v>0</v>
      </c>
      <c r="Q212" s="51"/>
      <c r="R212" s="231">
        <f>SUM(R20:R211)</f>
        <v>-612355.83640375629</v>
      </c>
    </row>
    <row r="213" spans="1:18" x14ac:dyDescent="0.2">
      <c r="P213" s="51"/>
      <c r="Q213" s="51"/>
    </row>
    <row r="220" spans="1:18" x14ac:dyDescent="0.2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76" fitToWidth="2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wOTo1Ni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NToyMSBQTTwvRGF0ZVRpbWU+PExhYmVsU3RyaW5nPkFFUCBJbnRlcm5hbDwvTGFiZWxTdHJpbmc+PC9pdGVtPjwvbGFiZWxIaXN0b3J5Pg=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B0EE7CD5-3A35-47DF-B8E1-3CC1C0171682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38CAEB4E-6A6C-463B-A1E4-7AAB21F995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Instructions</vt:lpstr>
      <vt:lpstr>Summary</vt:lpstr>
      <vt:lpstr>Pivot</vt:lpstr>
      <vt:lpstr>Transactions</vt:lpstr>
      <vt:lpstr>Transactions!AS1_1999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s177040</cp:lastModifiedBy>
  <cp:lastPrinted>2018-05-15T12:29:53Z</cp:lastPrinted>
  <dcterms:created xsi:type="dcterms:W3CDTF">2009-09-04T18:19:13Z</dcterms:created>
  <dcterms:modified xsi:type="dcterms:W3CDTF">2022-05-29T23:25:24Z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2acfcf31-dd2d-4375-8e33-fce169956290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uid="50c31824-0780-4910-87d1-eaaffd182d42" value="" /&gt;&lt;/sisl&gt;</vt:lpwstr>
  </property>
  <property fmtid="{D5CDD505-2E9C-101B-9397-08002B2CF9AE}" pid="12" name="bjLabelHistoryID">
    <vt:lpwstr>{B0EE7CD5-3A35-47DF-B8E1-3CC1C0171682}</vt:lpwstr>
  </property>
</Properties>
</file>